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240" windowWidth="19200" windowHeight="12570" activeTab="0"/>
  </bookViews>
  <sheets>
    <sheet name="Parameter" sheetId="1" r:id="rId1"/>
    <sheet name="Zahlungsplan" sheetId="2" r:id="rId2"/>
  </sheets>
  <definedNames/>
  <calcPr fullCalcOnLoad="1"/>
</workbook>
</file>

<file path=xl/sharedStrings.xml><?xml version="1.0" encoding="utf-8"?>
<sst xmlns="http://schemas.openxmlformats.org/spreadsheetml/2006/main" count="42" uniqueCount="39">
  <si>
    <t>Zins</t>
  </si>
  <si>
    <t>Tilgung</t>
  </si>
  <si>
    <t>Rate</t>
  </si>
  <si>
    <t>Restschuld am Ende der Zinsbindung:</t>
  </si>
  <si>
    <t>Gesamtzinskosten:</t>
  </si>
  <si>
    <t>Gesamtlaufzeit:</t>
  </si>
  <si>
    <t>=</t>
  </si>
  <si>
    <t>Monate</t>
  </si>
  <si>
    <t>Jahre</t>
  </si>
  <si>
    <t>Darlehenssumme:</t>
  </si>
  <si>
    <t>Anfangszinssatz:</t>
  </si>
  <si>
    <t>Anfangstilgung:</t>
  </si>
  <si>
    <t>Zinsbindung:</t>
  </si>
  <si>
    <t>künftiger Zinssatz:</t>
  </si>
  <si>
    <t>Restschuld</t>
  </si>
  <si>
    <t>Wunschrate:</t>
  </si>
  <si>
    <t>Zahlungen pro Jahr</t>
  </si>
  <si>
    <t>pro Jahr nominal</t>
  </si>
  <si>
    <t>konstante Rate:</t>
  </si>
  <si>
    <t>Auszahlungstermin:</t>
  </si>
  <si>
    <t>Fälligkeit der Raten:</t>
  </si>
  <si>
    <t>nachschüssig</t>
  </si>
  <si>
    <t>Zahlungstermin</t>
  </si>
  <si>
    <t>letzte Zahlung:</t>
  </si>
  <si>
    <t>Periode Nr.</t>
  </si>
  <si>
    <t>Perioden</t>
  </si>
  <si>
    <t>(Perioden)</t>
  </si>
  <si>
    <t>stetige Tilgung:</t>
  </si>
  <si>
    <t>Wunsch-Restschuld</t>
  </si>
  <si>
    <t>Tilgungsfreie Zeit:</t>
  </si>
  <si>
    <t>Rate nach Tilgungsbeginn:</t>
  </si>
  <si>
    <t>Rate nach Zinsbindung:</t>
  </si>
  <si>
    <t>Perioden tilgungsfrei</t>
  </si>
  <si>
    <t>Info</t>
  </si>
  <si>
    <t>aus Tabelle Parameter</t>
  </si>
  <si>
    <t>Rate vor Tilgungsbeginn:</t>
  </si>
  <si>
    <t>Strategie nach Zinsbindung:</t>
  </si>
  <si>
    <t>Perioden Zinsbindung</t>
  </si>
  <si>
    <t>konstante Rate</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</si>
</sst>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d/\ mmmm\ yyyy"/>
    <numFmt numFmtId="166" formatCode="dd/mm/yy"/>
    <numFmt numFmtId="167" formatCode="d/\ mmm/\ yy"/>
    <numFmt numFmtId="168" formatCode="d/\ mmm\ yy"/>
  </numFmts>
  <fonts count="10">
    <font>
      <sz val="10"/>
      <name val="Courier"/>
      <family val="0"/>
    </font>
    <font>
      <sz val="10"/>
      <name val="Verdana"/>
      <family val="2"/>
    </font>
    <font>
      <b/>
      <sz val="10"/>
      <name val="Verdana"/>
      <family val="2"/>
    </font>
    <font>
      <u val="single"/>
      <sz val="10"/>
      <color indexed="12"/>
      <name val="Courier"/>
      <family val="0"/>
    </font>
    <font>
      <u val="single"/>
      <sz val="10"/>
      <color indexed="36"/>
      <name val="Courier"/>
      <family val="0"/>
    </font>
    <font>
      <sz val="12"/>
      <name val="Times New Roman"/>
      <family val="1"/>
    </font>
    <font>
      <i/>
      <sz val="12"/>
      <name val="Times New Roman"/>
      <family val="1"/>
    </font>
    <font>
      <b/>
      <sz val="12"/>
      <name val="Times New Roman"/>
      <family val="1"/>
    </font>
    <font>
      <u val="single"/>
      <sz val="12"/>
      <name val="Times New Roman"/>
      <family val="1"/>
    </font>
    <font>
      <sz val="8"/>
      <name val="Tahoma"/>
      <family val="2"/>
    </font>
  </fonts>
  <fills count="8">
    <fill>
      <patternFill/>
    </fill>
    <fill>
      <patternFill patternType="gray125"/>
    </fill>
    <fill>
      <patternFill patternType="solid">
        <fgColor indexed="43"/>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41"/>
        <bgColor indexed="64"/>
      </patternFill>
    </fill>
    <fill>
      <patternFill patternType="solid">
        <fgColor indexed="47"/>
        <bgColor indexed="64"/>
      </patternFill>
    </fill>
  </fills>
  <borders count="21">
    <border>
      <left/>
      <right/>
      <top/>
      <bottom/>
      <diagonal/>
    </border>
    <border>
      <left>
        <color indexed="63"/>
      </left>
      <right>
        <color indexed="63"/>
      </right>
      <top style="medium"/>
      <bottom style="thin"/>
    </border>
    <border>
      <left>
        <color indexed="63"/>
      </left>
      <right>
        <color indexed="63"/>
      </right>
      <top style="thin"/>
      <bottom style="thin"/>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style="thick"/>
      <top style="medium"/>
      <bottom style="thin"/>
    </border>
    <border>
      <left>
        <color indexed="63"/>
      </left>
      <right style="thick"/>
      <top style="thin"/>
      <bottom style="thin"/>
    </border>
    <border>
      <left>
        <color indexed="63"/>
      </left>
      <right style="thick"/>
      <top style="thin"/>
      <bottom style="medium"/>
    </border>
    <border>
      <left>
        <color indexed="63"/>
      </left>
      <right style="medium"/>
      <top style="medium"/>
      <bottom style="thin"/>
    </border>
    <border>
      <left>
        <color indexed="63"/>
      </left>
      <right style="medium"/>
      <top style="thin"/>
      <bottom style="thin"/>
    </border>
    <border>
      <left>
        <color indexed="63"/>
      </left>
      <right>
        <color indexed="63"/>
      </right>
      <top style="thin"/>
      <bottom style="medium"/>
    </border>
    <border>
      <left>
        <color indexed="63"/>
      </left>
      <right style="medium"/>
      <top style="thin"/>
      <bottom style="medium"/>
    </border>
    <border>
      <left style="medium"/>
      <right>
        <color indexed="63"/>
      </right>
      <top style="thin"/>
      <bottom>
        <color indexed="63"/>
      </bottom>
    </border>
    <border>
      <left>
        <color indexed="63"/>
      </left>
      <right style="thick"/>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thick"/>
      <top>
        <color indexed="63"/>
      </top>
      <bottom>
        <color indexed="63"/>
      </bottom>
    </border>
    <border>
      <left>
        <color indexed="63"/>
      </left>
      <right style="medium"/>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3">
    <xf numFmtId="0" fontId="0" fillId="0" borderId="0" xfId="0" applyAlignment="1">
      <alignment/>
    </xf>
    <xf numFmtId="44" fontId="2" fillId="2" borderId="1" xfId="18" applyFont="1" applyFill="1" applyBorder="1" applyAlignment="1" applyProtection="1">
      <alignment horizontal="right"/>
      <protection locked="0"/>
    </xf>
    <xf numFmtId="10" fontId="2" fillId="2" borderId="2" xfId="20" applyNumberFormat="1" applyFont="1" applyFill="1" applyBorder="1" applyAlignment="1" applyProtection="1">
      <alignment/>
      <protection locked="0"/>
    </xf>
    <xf numFmtId="0" fontId="1" fillId="2" borderId="2" xfId="0" applyFont="1" applyFill="1" applyBorder="1" applyAlignment="1" applyProtection="1">
      <alignment/>
      <protection locked="0"/>
    </xf>
    <xf numFmtId="0" fontId="2" fillId="2" borderId="2" xfId="0" applyFont="1" applyFill="1" applyBorder="1" applyAlignment="1" applyProtection="1">
      <alignment/>
      <protection locked="0"/>
    </xf>
    <xf numFmtId="0" fontId="2" fillId="3" borderId="3" xfId="0" applyFont="1" applyFill="1" applyBorder="1" applyAlignment="1">
      <alignment horizontal="right"/>
    </xf>
    <xf numFmtId="0" fontId="2" fillId="3" borderId="4" xfId="0" applyFont="1" applyFill="1" applyBorder="1" applyAlignment="1">
      <alignment horizontal="right"/>
    </xf>
    <xf numFmtId="0" fontId="1" fillId="3" borderId="4" xfId="0" applyFont="1" applyFill="1" applyBorder="1" applyAlignment="1">
      <alignment horizontal="right"/>
    </xf>
    <xf numFmtId="0" fontId="2" fillId="3" borderId="5" xfId="0" applyFont="1" applyFill="1" applyBorder="1" applyAlignment="1">
      <alignment horizontal="right"/>
    </xf>
    <xf numFmtId="44" fontId="2" fillId="3" borderId="2" xfId="18" applyFont="1" applyFill="1" applyBorder="1" applyAlignment="1">
      <alignment horizontal="right"/>
    </xf>
    <xf numFmtId="0" fontId="1" fillId="3" borderId="6" xfId="0" applyFont="1" applyFill="1" applyBorder="1" applyAlignment="1">
      <alignment/>
    </xf>
    <xf numFmtId="0" fontId="1" fillId="3" borderId="7" xfId="0" applyFont="1" applyFill="1" applyBorder="1" applyAlignment="1">
      <alignment/>
    </xf>
    <xf numFmtId="0" fontId="1" fillId="3" borderId="8" xfId="0" applyFont="1" applyFill="1" applyBorder="1" applyAlignment="1">
      <alignment/>
    </xf>
    <xf numFmtId="0" fontId="2" fillId="4" borderId="1" xfId="0" applyFont="1" applyFill="1" applyBorder="1" applyAlignment="1">
      <alignment horizontal="right" wrapText="1"/>
    </xf>
    <xf numFmtId="44" fontId="2" fillId="4" borderId="1" xfId="18" applyFont="1" applyFill="1" applyBorder="1" applyAlignment="1">
      <alignment horizontal="right"/>
    </xf>
    <xf numFmtId="0" fontId="1" fillId="4" borderId="1" xfId="0" applyFont="1" applyFill="1" applyBorder="1" applyAlignment="1">
      <alignment/>
    </xf>
    <xf numFmtId="0" fontId="0" fillId="4" borderId="1" xfId="0" applyFill="1" applyBorder="1" applyAlignment="1">
      <alignment/>
    </xf>
    <xf numFmtId="0" fontId="0" fillId="4" borderId="9" xfId="0" applyFill="1" applyBorder="1" applyAlignment="1">
      <alignment/>
    </xf>
    <xf numFmtId="0" fontId="2" fillId="4" borderId="2" xfId="0" applyFont="1" applyFill="1" applyBorder="1" applyAlignment="1">
      <alignment horizontal="right"/>
    </xf>
    <xf numFmtId="44" fontId="2" fillId="4" borderId="2" xfId="18" applyFont="1" applyFill="1" applyBorder="1" applyAlignment="1">
      <alignment horizontal="right"/>
    </xf>
    <xf numFmtId="0" fontId="1" fillId="4" borderId="2" xfId="0" applyFont="1" applyFill="1" applyBorder="1" applyAlignment="1">
      <alignment/>
    </xf>
    <xf numFmtId="0" fontId="0" fillId="4" borderId="2" xfId="0" applyFill="1" applyBorder="1" applyAlignment="1">
      <alignment/>
    </xf>
    <xf numFmtId="0" fontId="0" fillId="4" borderId="10" xfId="0" applyFill="1" applyBorder="1" applyAlignment="1">
      <alignment/>
    </xf>
    <xf numFmtId="0" fontId="1" fillId="4" borderId="2" xfId="0" applyFont="1" applyFill="1" applyBorder="1" applyAlignment="1">
      <alignment horizontal="right"/>
    </xf>
    <xf numFmtId="0" fontId="1" fillId="4" borderId="2" xfId="0" applyFont="1" applyFill="1" applyBorder="1" applyAlignment="1">
      <alignment horizontal="center"/>
    </xf>
    <xf numFmtId="44" fontId="2" fillId="4" borderId="2" xfId="18" applyNumberFormat="1" applyFont="1" applyFill="1" applyBorder="1" applyAlignment="1">
      <alignment horizontal="right"/>
    </xf>
    <xf numFmtId="0" fontId="1" fillId="4" borderId="11" xfId="0" applyFont="1" applyFill="1" applyBorder="1" applyAlignment="1">
      <alignment/>
    </xf>
    <xf numFmtId="0" fontId="0" fillId="4" borderId="11" xfId="0" applyFill="1" applyBorder="1" applyAlignment="1">
      <alignment/>
    </xf>
    <xf numFmtId="0" fontId="0" fillId="4" borderId="12" xfId="0" applyFill="1" applyBorder="1" applyAlignment="1">
      <alignment/>
    </xf>
    <xf numFmtId="0" fontId="2" fillId="3" borderId="13" xfId="0" applyFont="1" applyFill="1" applyBorder="1" applyAlignment="1">
      <alignment horizontal="right"/>
    </xf>
    <xf numFmtId="0" fontId="1" fillId="3" borderId="14" xfId="0" applyFont="1" applyFill="1" applyBorder="1" applyAlignment="1">
      <alignment/>
    </xf>
    <xf numFmtId="0" fontId="1" fillId="4" borderId="15" xfId="0" applyFont="1" applyFill="1" applyBorder="1" applyAlignment="1">
      <alignment/>
    </xf>
    <xf numFmtId="0" fontId="0" fillId="4" borderId="15" xfId="0" applyFill="1" applyBorder="1" applyAlignment="1">
      <alignment/>
    </xf>
    <xf numFmtId="0" fontId="0" fillId="4" borderId="16" xfId="0" applyFill="1" applyBorder="1" applyAlignment="1">
      <alignment/>
    </xf>
    <xf numFmtId="44" fontId="1" fillId="4" borderId="15" xfId="18" applyNumberFormat="1" applyFont="1" applyFill="1" applyBorder="1" applyAlignment="1">
      <alignment horizontal="center"/>
    </xf>
    <xf numFmtId="0" fontId="1" fillId="4" borderId="15" xfId="0" applyFont="1" applyFill="1" applyBorder="1" applyAlignment="1">
      <alignment horizontal="right"/>
    </xf>
    <xf numFmtId="0" fontId="2" fillId="2" borderId="15" xfId="0" applyFont="1" applyFill="1" applyBorder="1" applyAlignment="1" applyProtection="1">
      <alignment horizontal="left"/>
      <protection locked="0"/>
    </xf>
    <xf numFmtId="0" fontId="2" fillId="5" borderId="0" xfId="0" applyFont="1" applyFill="1" applyAlignment="1">
      <alignment horizontal="right" vertical="center"/>
    </xf>
    <xf numFmtId="0" fontId="0" fillId="0" borderId="0" xfId="0" applyAlignment="1">
      <alignment vertical="center"/>
    </xf>
    <xf numFmtId="0" fontId="2" fillId="4" borderId="17" xfId="0" applyFont="1" applyFill="1" applyBorder="1" applyAlignment="1">
      <alignment vertical="center"/>
    </xf>
    <xf numFmtId="44" fontId="2" fillId="4" borderId="17" xfId="18" applyFont="1" applyFill="1" applyBorder="1" applyAlignment="1">
      <alignment horizontal="center" vertical="center"/>
    </xf>
    <xf numFmtId="0" fontId="2" fillId="4" borderId="17" xfId="0" applyFont="1" applyFill="1" applyBorder="1" applyAlignment="1">
      <alignment horizontal="center" vertical="center"/>
    </xf>
    <xf numFmtId="0" fontId="1" fillId="4" borderId="0" xfId="0" applyFont="1" applyFill="1" applyAlignment="1">
      <alignment vertical="center"/>
    </xf>
    <xf numFmtId="0" fontId="1" fillId="2" borderId="17" xfId="0" applyFont="1" applyFill="1" applyBorder="1" applyAlignment="1">
      <alignment vertical="center"/>
    </xf>
    <xf numFmtId="44" fontId="1" fillId="2" borderId="17" xfId="18" applyFont="1" applyFill="1" applyBorder="1" applyAlignment="1">
      <alignment horizontal="right" vertical="center"/>
    </xf>
    <xf numFmtId="44" fontId="1" fillId="2" borderId="17" xfId="0" applyNumberFormat="1" applyFont="1" applyFill="1" applyBorder="1" applyAlignment="1">
      <alignment vertical="center"/>
    </xf>
    <xf numFmtId="0" fontId="1" fillId="2" borderId="0" xfId="0" applyFont="1" applyFill="1" applyAlignment="1">
      <alignment vertical="center"/>
    </xf>
    <xf numFmtId="0" fontId="2" fillId="2" borderId="0" xfId="0" applyFont="1" applyFill="1" applyAlignment="1">
      <alignment horizontal="right" vertical="center"/>
    </xf>
    <xf numFmtId="0" fontId="1" fillId="6" borderId="17" xfId="0" applyFont="1" applyFill="1" applyBorder="1" applyAlignment="1">
      <alignment vertical="center"/>
    </xf>
    <xf numFmtId="44" fontId="1" fillId="6" borderId="17" xfId="18" applyFont="1" applyFill="1" applyBorder="1" applyAlignment="1">
      <alignment horizontal="right" vertical="center"/>
    </xf>
    <xf numFmtId="44" fontId="1" fillId="6" borderId="17" xfId="0" applyNumberFormat="1" applyFont="1" applyFill="1" applyBorder="1" applyAlignment="1">
      <alignment vertical="center"/>
    </xf>
    <xf numFmtId="0" fontId="1" fillId="6" borderId="0" xfId="0" applyFont="1" applyFill="1" applyAlignment="1">
      <alignment vertical="center"/>
    </xf>
    <xf numFmtId="0" fontId="2" fillId="6" borderId="0" xfId="0" applyFont="1" applyFill="1" applyAlignment="1">
      <alignment horizontal="right" vertical="center"/>
    </xf>
    <xf numFmtId="0" fontId="1" fillId="0" borderId="17" xfId="0" applyFont="1" applyBorder="1" applyAlignment="1">
      <alignment vertical="center"/>
    </xf>
    <xf numFmtId="44" fontId="1" fillId="0" borderId="17" xfId="18" applyFont="1" applyBorder="1" applyAlignment="1">
      <alignment horizontal="right" vertical="center"/>
    </xf>
    <xf numFmtId="0" fontId="1" fillId="0" borderId="17" xfId="0" applyFont="1" applyBorder="1" applyAlignment="1">
      <alignment horizontal="right" vertical="center"/>
    </xf>
    <xf numFmtId="0" fontId="1" fillId="0" borderId="0" xfId="0" applyFont="1" applyAlignment="1">
      <alignment vertical="center"/>
    </xf>
    <xf numFmtId="0" fontId="2" fillId="0" borderId="0" xfId="0" applyFont="1" applyAlignment="1">
      <alignment horizontal="right" vertical="center"/>
    </xf>
    <xf numFmtId="167" fontId="2" fillId="4" borderId="17" xfId="0" applyNumberFormat="1" applyFont="1" applyFill="1" applyBorder="1" applyAlignment="1">
      <alignment horizontal="center" vertical="center"/>
    </xf>
    <xf numFmtId="167" fontId="1" fillId="2" borderId="17" xfId="0" applyNumberFormat="1" applyFont="1" applyFill="1" applyBorder="1" applyAlignment="1">
      <alignment horizontal="center" vertical="center"/>
    </xf>
    <xf numFmtId="167" fontId="1" fillId="6" borderId="17" xfId="0" applyNumberFormat="1" applyFont="1" applyFill="1" applyBorder="1" applyAlignment="1">
      <alignment horizontal="center" vertical="center"/>
    </xf>
    <xf numFmtId="167" fontId="1" fillId="0" borderId="17" xfId="0" applyNumberFormat="1" applyFont="1" applyBorder="1" applyAlignment="1">
      <alignment horizontal="center" vertical="center"/>
    </xf>
    <xf numFmtId="44" fontId="1" fillId="4" borderId="2" xfId="18" applyFont="1" applyFill="1" applyBorder="1" applyAlignment="1">
      <alignment horizontal="right"/>
    </xf>
    <xf numFmtId="0" fontId="0" fillId="4" borderId="2" xfId="0" applyFill="1" applyBorder="1" applyAlignment="1">
      <alignment horizontal="right"/>
    </xf>
    <xf numFmtId="0" fontId="0" fillId="4" borderId="0" xfId="0" applyFill="1" applyAlignment="1">
      <alignment/>
    </xf>
    <xf numFmtId="168" fontId="1" fillId="4" borderId="2" xfId="18" applyNumberFormat="1" applyFont="1" applyFill="1" applyBorder="1" applyAlignment="1">
      <alignment horizontal="center"/>
    </xf>
    <xf numFmtId="0" fontId="2" fillId="3" borderId="18" xfId="0" applyFont="1" applyFill="1" applyBorder="1" applyAlignment="1">
      <alignment horizontal="right" vertical="center"/>
    </xf>
    <xf numFmtId="166" fontId="2" fillId="2" borderId="0" xfId="0" applyNumberFormat="1" applyFont="1" applyFill="1" applyBorder="1" applyAlignment="1" applyProtection="1">
      <alignment horizontal="center" vertical="center"/>
      <protection locked="0"/>
    </xf>
    <xf numFmtId="0" fontId="1" fillId="3" borderId="19" xfId="0" applyFont="1" applyFill="1" applyBorder="1" applyAlignment="1">
      <alignment vertical="center"/>
    </xf>
    <xf numFmtId="0" fontId="1" fillId="4" borderId="2" xfId="0" applyFont="1" applyFill="1" applyBorder="1" applyAlignment="1">
      <alignment horizontal="right" vertical="top"/>
    </xf>
    <xf numFmtId="0" fontId="1" fillId="4" borderId="2" xfId="0" applyFont="1" applyFill="1" applyBorder="1" applyAlignment="1">
      <alignment horizontal="center" vertical="top"/>
    </xf>
    <xf numFmtId="0" fontId="1" fillId="4" borderId="0" xfId="0" applyFont="1" applyFill="1" applyBorder="1" applyAlignment="1">
      <alignment vertical="top"/>
    </xf>
    <xf numFmtId="0" fontId="0" fillId="4" borderId="0" xfId="0" applyFill="1" applyBorder="1" applyAlignment="1">
      <alignment vertical="top"/>
    </xf>
    <xf numFmtId="0" fontId="0" fillId="4" borderId="20" xfId="0" applyFill="1" applyBorder="1" applyAlignment="1">
      <alignment vertical="top"/>
    </xf>
    <xf numFmtId="14" fontId="0" fillId="0" borderId="0" xfId="0" applyNumberFormat="1" applyAlignment="1">
      <alignment/>
    </xf>
    <xf numFmtId="10" fontId="2" fillId="7" borderId="2" xfId="20" applyNumberFormat="1" applyFont="1" applyFill="1" applyBorder="1" applyAlignment="1" applyProtection="1">
      <alignment/>
      <protection locked="0"/>
    </xf>
    <xf numFmtId="44" fontId="2" fillId="7" borderId="1" xfId="18" applyFont="1" applyFill="1" applyBorder="1" applyAlignment="1" applyProtection="1">
      <alignment horizontal="right" vertical="center"/>
      <protection locked="0"/>
    </xf>
    <xf numFmtId="1" fontId="2" fillId="2" borderId="11" xfId="20" applyNumberFormat="1" applyFont="1" applyFill="1" applyBorder="1" applyAlignment="1" applyProtection="1">
      <alignment/>
      <protection locked="0"/>
    </xf>
    <xf numFmtId="0" fontId="2" fillId="4" borderId="11" xfId="0" applyFont="1" applyFill="1" applyBorder="1" applyAlignment="1">
      <alignment horizontal="right"/>
    </xf>
    <xf numFmtId="1" fontId="1" fillId="2" borderId="0" xfId="0" applyNumberFormat="1" applyFont="1" applyFill="1" applyAlignment="1">
      <alignment vertical="center"/>
    </xf>
    <xf numFmtId="0" fontId="1" fillId="4" borderId="0" xfId="0" applyFont="1" applyFill="1" applyAlignment="1">
      <alignment horizontal="right" vertical="center"/>
    </xf>
    <xf numFmtId="0" fontId="0" fillId="0" borderId="0" xfId="0" applyAlignment="1">
      <alignment vertical="center"/>
    </xf>
    <xf numFmtId="0" fontId="0" fillId="0" borderId="0" xfId="0" applyAlignment="1">
      <alignment/>
    </xf>
  </cellXfs>
  <cellStyles count="9">
    <cellStyle name="Normal" xfId="0"/>
    <cellStyle name="Followed Hyperlink" xfId="15"/>
    <cellStyle name="Comma" xfId="16"/>
    <cellStyle name="Comma [0]" xfId="17"/>
    <cellStyle name="Euro" xfId="18"/>
    <cellStyle name="Hyperlink" xfId="19"/>
    <cellStyle name="Percent" xfId="20"/>
    <cellStyle name="Currency" xfId="21"/>
    <cellStyle name="Currency [0]" xfId="22"/>
  </cellStyles>
  <dxfs count="4">
    <dxf>
      <font>
        <b/>
        <i val="0"/>
      </font>
      <fill>
        <patternFill>
          <bgColor rgb="FFFF0000"/>
        </patternFill>
      </fill>
      <border/>
    </dxf>
    <dxf>
      <font>
        <b val="0"/>
        <i/>
      </font>
      <fill>
        <patternFill>
          <bgColor rgb="FFFF0000"/>
        </patternFill>
      </fill>
      <border/>
    </dxf>
    <dxf>
      <font>
        <b val="0"/>
        <i/>
      </font>
      <fill>
        <patternFill>
          <bgColor rgb="FFFF9900"/>
        </patternFill>
      </fill>
      <border/>
    </dxf>
    <dxf>
      <fill>
        <patternFill>
          <bgColor rgb="FF00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xdr:colOff>
      <xdr:row>11</xdr:row>
      <xdr:rowOff>9525</xdr:rowOff>
    </xdr:from>
    <xdr:to>
      <xdr:col>3</xdr:col>
      <xdr:colOff>1104900</xdr:colOff>
      <xdr:row>11</xdr:row>
      <xdr:rowOff>342900</xdr:rowOff>
    </xdr:to>
    <xdr:pic>
      <xdr:nvPicPr>
        <xdr:cNvPr id="1" name="CommandButton1"/>
        <xdr:cNvPicPr preferRelativeResize="1">
          <a:picLocks noChangeAspect="1"/>
        </xdr:cNvPicPr>
      </xdr:nvPicPr>
      <xdr:blipFill>
        <a:blip r:embed="rId1"/>
        <a:stretch>
          <a:fillRect/>
        </a:stretch>
      </xdr:blipFill>
      <xdr:spPr>
        <a:xfrm>
          <a:off x="3219450" y="2076450"/>
          <a:ext cx="2181225" cy="333375"/>
        </a:xfrm>
        <a:prstGeom prst="rect">
          <a:avLst/>
        </a:prstGeom>
        <a:solidFill>
          <a:srgbClr val="FFFFFF"/>
        </a:solidFill>
        <a:ln w="1" cmpd="sng">
          <a:noFill/>
        </a:ln>
      </xdr:spPr>
    </xdr:pic>
    <xdr:clientData/>
  </xdr:twoCellAnchor>
  <xdr:twoCellAnchor editAs="oneCell">
    <xdr:from>
      <xdr:col>2</xdr:col>
      <xdr:colOff>0</xdr:colOff>
      <xdr:row>8</xdr:row>
      <xdr:rowOff>0</xdr:rowOff>
    </xdr:from>
    <xdr:to>
      <xdr:col>2</xdr:col>
      <xdr:colOff>1076325</xdr:colOff>
      <xdr:row>9</xdr:row>
      <xdr:rowOff>9525</xdr:rowOff>
    </xdr:to>
    <xdr:pic>
      <xdr:nvPicPr>
        <xdr:cNvPr id="2" name="CommandButton2"/>
        <xdr:cNvPicPr preferRelativeResize="1">
          <a:picLocks noChangeAspect="1"/>
        </xdr:cNvPicPr>
      </xdr:nvPicPr>
      <xdr:blipFill>
        <a:blip r:embed="rId2"/>
        <a:stretch>
          <a:fillRect/>
        </a:stretch>
      </xdr:blipFill>
      <xdr:spPr>
        <a:xfrm>
          <a:off x="3209925" y="1457325"/>
          <a:ext cx="1076325" cy="285750"/>
        </a:xfrm>
        <a:prstGeom prst="rect">
          <a:avLst/>
        </a:prstGeom>
        <a:noFill/>
        <a:ln w="9525" cmpd="sng">
          <a:noFill/>
        </a:ln>
      </xdr:spPr>
    </xdr:pic>
    <xdr:clientData/>
  </xdr:twoCellAnchor>
  <xdr:twoCellAnchor editAs="oneCell">
    <xdr:from>
      <xdr:col>3</xdr:col>
      <xdr:colOff>1104900</xdr:colOff>
      <xdr:row>12</xdr:row>
      <xdr:rowOff>9525</xdr:rowOff>
    </xdr:from>
    <xdr:to>
      <xdr:col>4</xdr:col>
      <xdr:colOff>1390650</xdr:colOff>
      <xdr:row>12</xdr:row>
      <xdr:rowOff>333375</xdr:rowOff>
    </xdr:to>
    <xdr:pic>
      <xdr:nvPicPr>
        <xdr:cNvPr id="3" name="CommandButton3"/>
        <xdr:cNvPicPr preferRelativeResize="1">
          <a:picLocks noChangeAspect="1"/>
        </xdr:cNvPicPr>
      </xdr:nvPicPr>
      <xdr:blipFill>
        <a:blip r:embed="rId3"/>
        <a:stretch>
          <a:fillRect/>
        </a:stretch>
      </xdr:blipFill>
      <xdr:spPr>
        <a:xfrm>
          <a:off x="5400675" y="2419350"/>
          <a:ext cx="2181225" cy="323850"/>
        </a:xfrm>
        <a:prstGeom prst="rect">
          <a:avLst/>
        </a:prstGeom>
        <a:noFill/>
        <a:ln w="9525" cmpd="sng">
          <a:noFill/>
        </a:ln>
      </xdr:spPr>
    </xdr:pic>
    <xdr:clientData/>
  </xdr:twoCellAnchor>
  <xdr:twoCellAnchor>
    <xdr:from>
      <xdr:col>0</xdr:col>
      <xdr:colOff>0</xdr:colOff>
      <xdr:row>13</xdr:row>
      <xdr:rowOff>0</xdr:rowOff>
    </xdr:from>
    <xdr:to>
      <xdr:col>8</xdr:col>
      <xdr:colOff>0</xdr:colOff>
      <xdr:row>115</xdr:row>
      <xdr:rowOff>152400</xdr:rowOff>
    </xdr:to>
    <xdr:sp>
      <xdr:nvSpPr>
        <xdr:cNvPr id="4" name="TextBox 16"/>
        <xdr:cNvSpPr txBox="1">
          <a:spLocks noChangeArrowheads="1"/>
        </xdr:cNvSpPr>
      </xdr:nvSpPr>
      <xdr:spPr>
        <a:xfrm>
          <a:off x="0" y="2743200"/>
          <a:ext cx="9744075" cy="166592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Times New Roman"/>
              <a:ea typeface="Times New Roman"/>
              <a:cs typeface="Times New Roman"/>
            </a:rPr>
            <a:t>Diese Excelanwendung erlaubt Ihnen die Berechnung von Annuitätendarlehen, d.h. Darlehen, für die mit gleichbleibender Rate Zins und Tilgung gezahlt wird, wobei bei jeder neuen Rate der Zinsanteil kleiner und der Tilgungsanteil größer wird, weil ja mit jeder Zahlung die Schuld kleiner wird.
Auf diesem Tabellenblatt geben Sie die Parameter des Darlehensangebotes ein (linker Teil) und bekommen charakteristische Bewertungsgrößen ausgegeben (rechter, rosa Teil).
Das Tabellenblatt Zahlungsplan enthält für jede einzelne Zahlung den Zinsanteil, den Tilgungsanteil, den Zahlungstermin und die resultierende Restschuld.
Es können Darlehen bis zu einer Laufzeit von 40 Jahren verarbeitet werden.
Entscheidend für die Gesamtkosten, die Ihnen als Kreditnehmer während der Laufzeit entstehen, ist neben dem Zinssatz, wie schnell Sie den Kredit tilgen können. Der dafür entscheidende Parameter ist die </a:t>
          </a:r>
          <a:r>
            <a:rPr lang="en-US" cap="none" sz="1200" b="0" i="1" u="none" baseline="0">
              <a:latin typeface="Times New Roman"/>
              <a:ea typeface="Times New Roman"/>
              <a:cs typeface="Times New Roman"/>
            </a:rPr>
            <a:t>Anfangstilgung</a:t>
          </a:r>
          <a:r>
            <a:rPr lang="en-US" cap="none" sz="1200" b="0" i="0" u="none" baseline="0">
              <a:latin typeface="Times New Roman"/>
              <a:ea typeface="Times New Roman"/>
              <a:cs typeface="Times New Roman"/>
            </a:rPr>
            <a:t>. Sie gibt bezogen auf ein Jahr den Prozentsatz von der Darlehenssumme an, der zu Beginn getilgt werden soll. Um die optimale Anfangstilgung bestimmen zu können, haben Sie in den orange hinterlegten Feldern drei Eingabemöglichkeiten:
a) Direkte Eingabe als Prozentsatz in Zelle B4. Erlaubte Werte: Von 0% bis 50%.
b) Eingabe einer Wunschrate in Zelle B12. (Eingabe mit Eingabetaste abschließen!) Durch Klicken auf die nebenstehende Schaltfläche </a:t>
          </a:r>
          <a:r>
            <a:rPr lang="en-US" cap="none" sz="1200" b="0" i="1" u="none" baseline="0">
              <a:latin typeface="Times New Roman"/>
              <a:ea typeface="Times New Roman"/>
              <a:cs typeface="Times New Roman"/>
            </a:rPr>
            <a:t>"Tilgung für Rate berechnen"</a:t>
          </a:r>
          <a:r>
            <a:rPr lang="en-US" cap="none" sz="1200" b="0" i="0" u="none" baseline="0">
              <a:latin typeface="Times New Roman"/>
              <a:ea typeface="Times New Roman"/>
              <a:cs typeface="Times New Roman"/>
            </a:rPr>
            <a:t> wird die zur Wunschrate gehörende Anfangstilgung berechnet. Erlaubte Werte für die Wunschrate: Mindestens der Zinsanteil der Rate plus ein Euro. (Diesen Wert finden Sie im Tabellenblatt Zahlungsplan in der Zelle B2 oder wenn Sie zunächst eine Anfangstilgung von 0% eingeben.) 
Höchstwert der Wunschrate ist der halbe Darlehensbetrag.
c) Als dritte Möglichkeit können Sie in Zelle B13 eine Restschuld vorgeben, die am Ende der Zinsbindungsfrist noch übrig bleiben darf. Klicken Sie anschließend auf </a:t>
          </a:r>
          <a:r>
            <a:rPr lang="en-US" cap="none" sz="1200" b="0" i="1" u="none" baseline="0">
              <a:latin typeface="Times New Roman"/>
              <a:ea typeface="Times New Roman"/>
              <a:cs typeface="Times New Roman"/>
            </a:rPr>
            <a:t>"Tilgung für Restschuld berechnen" </a:t>
          </a:r>
          <a:r>
            <a:rPr lang="en-US" cap="none" sz="1200" b="0" i="0" u="none" baseline="0">
              <a:latin typeface="Times New Roman"/>
              <a:ea typeface="Times New Roman"/>
              <a:cs typeface="Times New Roman"/>
            </a:rPr>
            <a:t>und die passende Anfangstilgung sowie die dazu gehörende Rate werden berechnet.
Durch Klicken auf die Schaltfläche </a:t>
          </a:r>
          <a:r>
            <a:rPr lang="en-US" cap="none" sz="1200" b="0" i="1" u="none" baseline="0">
              <a:latin typeface="Times New Roman"/>
              <a:ea typeface="Times New Roman"/>
              <a:cs typeface="Times New Roman"/>
            </a:rPr>
            <a:t>"Volltilgung während Zinsbindung" </a:t>
          </a:r>
          <a:r>
            <a:rPr lang="en-US" cap="none" sz="1200" b="0" i="0" u="none" baseline="0">
              <a:latin typeface="Times New Roman"/>
              <a:ea typeface="Times New Roman"/>
              <a:cs typeface="Times New Roman"/>
            </a:rPr>
            <a:t>wird die Anfangstilgung (und mit ihr die Rate) so berechnet, dass das Darlehen innerhalb der in Zelle B6 angegebenen Zinsbindungsfrist vollständig zurückgezahlt wird (entspricht Eingabe der Restschuld "0").
Die Zinsbindung ist der Zeitraum, für den Ihre Bank den anfangs vereinbarten Zinssatz garantiert. In der Regel beträgt er 5, 10 oder 15, in Ausnahmefällen auch 20 Jahre. 
In diesem Tabellenblatt können Sie die Berechnung der Gesamtkosten, die Ihnen bis zur vollständigen Rückzahlung des Darlehens entstehen, unter Berücksichtigung der Zinsbindung auf zwei verschiedene Weisen durchführen: Entweder unter Annahme einer konstanten Rate auch nach Ablauf der Zinsbindungsfrist oder unter Zugrundelegung einer stetigen Tilgung. Ersteres erreichen Sie durch die Einstellung </a:t>
          </a:r>
          <a:r>
            <a:rPr lang="en-US" cap="none" sz="1200" b="0" i="1" u="none" baseline="0">
              <a:latin typeface="Times New Roman"/>
              <a:ea typeface="Times New Roman"/>
              <a:cs typeface="Times New Roman"/>
            </a:rPr>
            <a:t>"konstante Rate"</a:t>
          </a:r>
          <a:r>
            <a:rPr lang="en-US" cap="none" sz="1200" b="0" i="0" u="none" baseline="0">
              <a:latin typeface="Times New Roman"/>
              <a:ea typeface="Times New Roman"/>
              <a:cs typeface="Times New Roman"/>
            </a:rPr>
            <a:t>, letzteres durch </a:t>
          </a:r>
          <a:r>
            <a:rPr lang="en-US" cap="none" sz="1200" b="0" i="1" u="none" baseline="0">
              <a:latin typeface="Times New Roman"/>
              <a:ea typeface="Times New Roman"/>
              <a:cs typeface="Times New Roman"/>
            </a:rPr>
            <a:t>"stetige Tilgung"</a:t>
          </a:r>
          <a:r>
            <a:rPr lang="en-US" cap="none" sz="1200" b="0" i="0" u="none" baseline="0">
              <a:latin typeface="Times New Roman"/>
              <a:ea typeface="Times New Roman"/>
              <a:cs typeface="Times New Roman"/>
            </a:rPr>
            <a:t> hinter </a:t>
          </a:r>
          <a:r>
            <a:rPr lang="en-US" cap="none" sz="1200" b="0" i="1" u="none" baseline="0">
              <a:latin typeface="Times New Roman"/>
              <a:ea typeface="Times New Roman"/>
              <a:cs typeface="Times New Roman"/>
            </a:rPr>
            <a:t>"Strategie nach Zinsbindung".</a:t>
          </a:r>
          <a:r>
            <a:rPr lang="en-US" cap="none" sz="1200" b="0" i="0" u="none" baseline="0">
              <a:latin typeface="Times New Roman"/>
              <a:ea typeface="Times New Roman"/>
              <a:cs typeface="Times New Roman"/>
            </a:rPr>
            <a:t>
In beiden Fällen wird nach Ablauf der Zinsbindungsfrist mit dem in Zelle B8 angegebenen </a:t>
          </a:r>
          <a:r>
            <a:rPr lang="en-US" cap="none" sz="1200" b="0" i="1" u="none" baseline="0">
              <a:latin typeface="Times New Roman"/>
              <a:ea typeface="Times New Roman"/>
              <a:cs typeface="Times New Roman"/>
            </a:rPr>
            <a:t>künftigen Zinssatz</a:t>
          </a:r>
          <a:r>
            <a:rPr lang="en-US" cap="none" sz="1200" b="0" i="0" u="none" baseline="0">
              <a:latin typeface="Times New Roman"/>
              <a:ea typeface="Times New Roman"/>
              <a:cs typeface="Times New Roman"/>
            </a:rPr>
            <a:t> gerechnet. Den müssen Sie schätzen, um zu Ihrer persönlichen Beurteilung zu kommen, welche Zinsbindungsfrist am günstigsten für Sie ist.
Bei Annahme einer konstanten Rate wird am Ende der Zinsbindungsfrist der Tilgungsanteil der Rate so verändert, dass er zusammen mit dem neuen Zinsanteil wieder den selben Betrag ergibt. In aller Regel wird man vorsichtshalber von steigenden Zinsen ausgehen, so dass der Verlauf des Tilgungsanteils einen Sprung nach unten macht und die Laufzeit länger wird.
Wird im Gegensatz dazu eine stetige Tilgung zu Grunde gelegt, berechnet sich der Tilgungsanteil zu dem selben Betrag, den er auch beim Weiterlaufen mit dem alten Zinssatz gehabt hätte. Dazu wird der neue Zinsanteil hinzugerechnet, so dass sich bei einem angenommenen steigenden Zins am Ende der Zinsbindungsfrist eine höhere Rate ergibt. Dafür bleibt die Laufzeit konstant.
</a:t>
          </a:r>
          <a:r>
            <a:rPr lang="en-US" cap="none" sz="1200" b="0" i="0" u="sng" baseline="0">
              <a:latin typeface="Times New Roman"/>
              <a:ea typeface="Times New Roman"/>
              <a:cs typeface="Times New Roman"/>
            </a:rPr>
            <a:t>Weitere Eingabemöglichkeiten:</a:t>
          </a:r>
          <a:r>
            <a:rPr lang="en-US" cap="none" sz="1200" b="0" i="0" u="none" baseline="0">
              <a:latin typeface="Times New Roman"/>
              <a:ea typeface="Times New Roman"/>
              <a:cs typeface="Times New Roman"/>
            </a:rPr>
            <a:t>
Die Summe, die Sie leihen möchten, geben Sie in Zelle B1 ein.
Geben Sie in Zelle B2 den </a:t>
          </a:r>
          <a:r>
            <a:rPr lang="en-US" cap="none" sz="1200" b="1" i="0" u="none" baseline="0">
              <a:latin typeface="Times New Roman"/>
              <a:ea typeface="Times New Roman"/>
              <a:cs typeface="Times New Roman"/>
            </a:rPr>
            <a:t>nominalen</a:t>
          </a:r>
          <a:r>
            <a:rPr lang="en-US" cap="none" sz="1200" b="0" i="0" u="none" baseline="0">
              <a:latin typeface="Times New Roman"/>
              <a:ea typeface="Times New Roman"/>
              <a:cs typeface="Times New Roman"/>
            </a:rPr>
            <a:t> Zinssatz an, den Ihre Bank Ihnen anbietet.
Darunter, in Zelle B3 geben Sie an, wie viele Raten Sie pro Jahr zahlen müssen. Bei monatlicher Zahlung steht hier z.B. eine 12, bei quartalsmäßiger Zahlung eine 4. Erlaubte Werte gehen von 1 (jährliche Zahlung) bis 365 (tägliche Zahlung).
Auszahlungstermin: Diese Angabe wird nur benötigt, um für das Ende der Laufzeit ein Datum angeben zu können. Durch Klick auf </a:t>
          </a:r>
          <a:r>
            <a:rPr lang="en-US" cap="none" sz="1200" b="0" i="1" u="none" baseline="0">
              <a:latin typeface="Times New Roman"/>
              <a:ea typeface="Times New Roman"/>
              <a:cs typeface="Times New Roman"/>
            </a:rPr>
            <a:t>"&lt;- heute"</a:t>
          </a:r>
          <a:r>
            <a:rPr lang="en-US" cap="none" sz="1200" b="0" i="0" u="none" baseline="0">
              <a:latin typeface="Times New Roman"/>
              <a:ea typeface="Times New Roman"/>
              <a:cs typeface="Times New Roman"/>
            </a:rPr>
            <a:t>können Sie dort das aktuelle Datem eintragen lassen.
Die Fälligkeit der Raten in B10 </a:t>
          </a:r>
          <a:r>
            <a:rPr lang="en-US" cap="none" sz="1200" b="0" i="1" u="none" baseline="0">
              <a:latin typeface="Times New Roman"/>
              <a:ea typeface="Times New Roman"/>
              <a:cs typeface="Times New Roman"/>
            </a:rPr>
            <a:t>(vorschüssig</a:t>
          </a:r>
          <a:r>
            <a:rPr lang="en-US" cap="none" sz="1200" b="0" i="0" u="none" baseline="0">
              <a:latin typeface="Times New Roman"/>
              <a:ea typeface="Times New Roman"/>
              <a:cs typeface="Times New Roman"/>
            </a:rPr>
            <a:t> = am Beginn der Periode wird gezahlt, </a:t>
          </a:r>
          <a:r>
            <a:rPr lang="en-US" cap="none" sz="1200" b="0" i="1" u="none" baseline="0">
              <a:latin typeface="Times New Roman"/>
              <a:ea typeface="Times New Roman"/>
              <a:cs typeface="Times New Roman"/>
            </a:rPr>
            <a:t>nachschüssig</a:t>
          </a:r>
          <a:r>
            <a:rPr lang="en-US" cap="none" sz="1200" b="0" i="0" u="none" baseline="0">
              <a:latin typeface="Times New Roman"/>
              <a:ea typeface="Times New Roman"/>
              <a:cs typeface="Times New Roman"/>
            </a:rPr>
            <a:t> = es wird am Ende gezahlt) spielt ebenfalls nur für die Berechnung des Enddatums eine Rolle.
Unter Tilgungsfreie Zeit (B11) können Sie einen Zeitraum zu Beginn der Laufzeit angeben, während dem Sie nur Zinsen aber noch keine Tilgung zahlen müssen (manche Angebote enthalten eine solche Möglichkeit). Die Angabe erfolgt in der Einheit "Perioden"; wenn Sie also unter </a:t>
          </a:r>
          <a:r>
            <a:rPr lang="en-US" cap="none" sz="1200" b="0" i="1" u="none" baseline="0">
              <a:latin typeface="Times New Roman"/>
              <a:ea typeface="Times New Roman"/>
              <a:cs typeface="Times New Roman"/>
            </a:rPr>
            <a:t>"Zahlungen pro Jahr"</a:t>
          </a:r>
          <a:r>
            <a:rPr lang="en-US" cap="none" sz="1200" b="0" i="0" u="none" baseline="0">
              <a:latin typeface="Times New Roman"/>
              <a:ea typeface="Times New Roman"/>
              <a:cs typeface="Times New Roman"/>
            </a:rPr>
            <a:t>12 angegeben haben, müssen Sie unter </a:t>
          </a:r>
          <a:r>
            <a:rPr lang="en-US" cap="none" sz="1200" b="0" i="1" u="none" baseline="0">
              <a:latin typeface="Times New Roman"/>
              <a:ea typeface="Times New Roman"/>
              <a:cs typeface="Times New Roman"/>
            </a:rPr>
            <a:t>"Tilgungsfreie Zeit"</a:t>
          </a:r>
          <a:r>
            <a:rPr lang="en-US" cap="none" sz="1200" b="0" i="0" u="none" baseline="0">
              <a:latin typeface="Times New Roman"/>
              <a:ea typeface="Times New Roman"/>
              <a:cs typeface="Times New Roman"/>
            </a:rPr>
            <a:t> 6 angeben, wenn diese ein halbes Jahr betragen soll.
Machen Sie hier eine von Null verschiedene Angabe, wird in Zelle E11 die Rate während der tilgungsfreien Zeit ausgegeben.
Die Laufzeit des Darlehens kann sich um mehr als die tilgungsfreie Zeit verlängern, je nachdem welche Einstellungen Sie für Zinsbindung und künftiger Zinssatz vorgenommen haben. Auf jeden Fall erhöhen sich mit jeder tilgungsfreien Periode die Gesamtkosten.
</a:t>
          </a:r>
          <a:r>
            <a:rPr lang="en-US" cap="none" sz="1200" b="0" i="0" u="sng" baseline="0">
              <a:latin typeface="Times New Roman"/>
              <a:ea typeface="Times New Roman"/>
              <a:cs typeface="Times New Roman"/>
            </a:rPr>
            <a:t>Ergebnisse:</a:t>
          </a:r>
          <a:r>
            <a:rPr lang="en-US" cap="none" sz="1200" b="0" i="0" u="none" baseline="0">
              <a:latin typeface="Times New Roman"/>
              <a:ea typeface="Times New Roman"/>
              <a:cs typeface="Times New Roman"/>
            </a:rPr>
            <a:t>
In Zelle E1 wird die Restschuld am Ende der Zinsbindnug angegeben.
Die Gesamtzinskosten in Zelle E2 sind die Summe aller Zinsanteile im Tabellenblatt </a:t>
          </a:r>
          <a:r>
            <a:rPr lang="en-US" cap="none" sz="1200" b="0" i="1" u="none" baseline="0">
              <a:latin typeface="Times New Roman"/>
              <a:ea typeface="Times New Roman"/>
              <a:cs typeface="Times New Roman"/>
            </a:rPr>
            <a:t>Zahlungsplan</a:t>
          </a:r>
          <a:r>
            <a:rPr lang="en-US" cap="none" sz="1200" b="0" i="0" u="none" baseline="0">
              <a:latin typeface="Times New Roman"/>
              <a:ea typeface="Times New Roman"/>
              <a:cs typeface="Times New Roman"/>
            </a:rPr>
            <a:t>.
Die Laufzeit bis zur vollständigen Rückzahlung des Darlehens (unter Berücksichtigung der Strategie nach dem Ende der Zinsbindung </a:t>
          </a:r>
          <a:r>
            <a:rPr lang="en-US" cap="none" sz="1200" b="0" i="1" u="none" baseline="0">
              <a:latin typeface="Times New Roman"/>
              <a:ea typeface="Times New Roman"/>
              <a:cs typeface="Times New Roman"/>
            </a:rPr>
            <a:t>konstante Rate</a:t>
          </a:r>
          <a:r>
            <a:rPr lang="en-US" cap="none" sz="1200" b="0" i="0" u="none" baseline="0">
              <a:latin typeface="Times New Roman"/>
              <a:ea typeface="Times New Roman"/>
              <a:cs typeface="Times New Roman"/>
            </a:rPr>
            <a:t> oder </a:t>
          </a:r>
          <a:r>
            <a:rPr lang="en-US" cap="none" sz="1200" b="0" i="1" u="none" baseline="0">
              <a:latin typeface="Times New Roman"/>
              <a:ea typeface="Times New Roman"/>
              <a:cs typeface="Times New Roman"/>
            </a:rPr>
            <a:t>stetige Tilgung</a:t>
          </a:r>
          <a:r>
            <a:rPr lang="en-US" cap="none" sz="1200" b="0" i="0" u="none" baseline="0">
              <a:latin typeface="Times New Roman"/>
              <a:ea typeface="Times New Roman"/>
              <a:cs typeface="Times New Roman"/>
            </a:rPr>
            <a:t>) wird in Zelle E3 in Perioden ausgedrückt. Darunter steht die Umrechnung in Jahre und Monate.
Da die letzte Rate sich von den übrigen unterscheiden kann, wird sie mit dem Zahlungstermin in Zeile 5 ausgegeben.
Zelle E7 enthält die Rate nach Ablauf der Zinsbindung. Sie ist entweder gleich der Rate in B5 (Strategie </a:t>
          </a:r>
          <a:r>
            <a:rPr lang="en-US" cap="none" sz="1200" b="0" i="1" u="none" baseline="0">
              <a:latin typeface="Times New Roman"/>
              <a:ea typeface="Times New Roman"/>
              <a:cs typeface="Times New Roman"/>
            </a:rPr>
            <a:t>konstante Rate</a:t>
          </a:r>
          <a:r>
            <a:rPr lang="en-US" cap="none" sz="1200" b="0" i="0" u="none" baseline="0">
              <a:latin typeface="Times New Roman"/>
              <a:ea typeface="Times New Roman"/>
              <a:cs typeface="Times New Roman"/>
            </a:rPr>
            <a:t>) oder berechnet sich aus dem neuen Zinssatz in Verbindung mit dem weitergeführten Tilgungsanteil (Strategie </a:t>
          </a:r>
          <a:r>
            <a:rPr lang="en-US" cap="none" sz="1200" b="0" i="1" u="none" baseline="0">
              <a:latin typeface="Times New Roman"/>
              <a:ea typeface="Times New Roman"/>
              <a:cs typeface="Times New Roman"/>
            </a:rPr>
            <a:t>stetige Tilgung</a:t>
          </a:r>
          <a:r>
            <a:rPr lang="en-US" cap="none" sz="1200" b="0" i="0" u="none" baseline="0">
              <a:latin typeface="Times New Roman"/>
              <a:ea typeface="Times New Roman"/>
              <a:cs typeface="Times New Roman"/>
            </a:rPr>
            <a:t>).
Zelle E11 ist nur dann relevant, wenn eine Tilgungsfreie Zeit zu Beginn der Laufzeit vereinbart wurde. Hier steht die Rate, die während dieser Zeit zu zahlen ist.</a:t>
          </a:r>
        </a:p>
      </xdr:txBody>
    </xdr:sp>
    <xdr:clientData/>
  </xdr:twoCellAnchor>
  <xdr:twoCellAnchor editAs="oneCell">
    <xdr:from>
      <xdr:col>2</xdr:col>
      <xdr:colOff>9525</xdr:colOff>
      <xdr:row>12</xdr:row>
      <xdr:rowOff>9525</xdr:rowOff>
    </xdr:from>
    <xdr:to>
      <xdr:col>3</xdr:col>
      <xdr:colOff>1104900</xdr:colOff>
      <xdr:row>12</xdr:row>
      <xdr:rowOff>333375</xdr:rowOff>
    </xdr:to>
    <xdr:pic>
      <xdr:nvPicPr>
        <xdr:cNvPr id="5" name="CommandButton4"/>
        <xdr:cNvPicPr preferRelativeResize="1">
          <a:picLocks noChangeAspect="1"/>
        </xdr:cNvPicPr>
      </xdr:nvPicPr>
      <xdr:blipFill>
        <a:blip r:embed="rId4"/>
        <a:stretch>
          <a:fillRect/>
        </a:stretch>
      </xdr:blipFill>
      <xdr:spPr>
        <a:xfrm>
          <a:off x="3219450" y="2419350"/>
          <a:ext cx="2181225" cy="323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Tabelle1"/>
  <dimension ref="A1:H17"/>
  <sheetViews>
    <sheetView tabSelected="1" workbookViewId="0" topLeftCell="A1">
      <pane ySplit="13" topLeftCell="BM14" activePane="bottomLeft" state="frozen"/>
      <selection pane="topLeft" activeCell="A1" sqref="A1"/>
      <selection pane="bottomLeft" activeCell="I23" sqref="I23"/>
    </sheetView>
  </sheetViews>
  <sheetFormatPr defaultColWidth="11.00390625" defaultRowHeight="12.75"/>
  <cols>
    <col min="1" max="1" width="26.875" style="0" bestFit="1" customWidth="1"/>
    <col min="2" max="2" width="15.25390625" style="0" customWidth="1"/>
    <col min="3" max="3" width="14.25390625" style="0" bestFit="1" customWidth="1"/>
    <col min="4" max="4" width="24.875" style="0" customWidth="1"/>
    <col min="5" max="5" width="19.00390625" style="0" bestFit="1" customWidth="1"/>
    <col min="6" max="6" width="12.50390625" style="0" bestFit="1" customWidth="1"/>
    <col min="7" max="7" width="4.125" style="0" customWidth="1"/>
  </cols>
  <sheetData>
    <row r="1" spans="1:8" ht="25.5">
      <c r="A1" s="5" t="s">
        <v>9</v>
      </c>
      <c r="B1" s="1">
        <v>36000</v>
      </c>
      <c r="C1" s="10"/>
      <c r="D1" s="13" t="s">
        <v>3</v>
      </c>
      <c r="E1" s="14">
        <f>VLOOKUP($B$6*$B$3,Zahlungsplan!A2:D481,4)</f>
        <v>19076.090382670987</v>
      </c>
      <c r="F1" s="15"/>
      <c r="G1" s="16"/>
      <c r="H1" s="17"/>
    </row>
    <row r="2" spans="1:8" ht="12.75">
      <c r="A2" s="6" t="s">
        <v>10</v>
      </c>
      <c r="B2" s="2">
        <v>0.057</v>
      </c>
      <c r="C2" s="11" t="s">
        <v>17</v>
      </c>
      <c r="D2" s="18" t="s">
        <v>4</v>
      </c>
      <c r="E2" s="19">
        <f>SUM(Zahlungsplan!B:B)</f>
        <v>16746.01308983043</v>
      </c>
      <c r="F2" s="20"/>
      <c r="G2" s="21"/>
      <c r="H2" s="22"/>
    </row>
    <row r="3" spans="1:8" ht="12.75">
      <c r="A3" s="7" t="s">
        <v>16</v>
      </c>
      <c r="B3" s="3">
        <v>12</v>
      </c>
      <c r="C3" s="11" t="s">
        <v>26</v>
      </c>
      <c r="D3" s="18" t="s">
        <v>5</v>
      </c>
      <c r="E3" s="18">
        <f>MATCH(0,Zahlungsplan!D2:D481,-1)</f>
        <v>180</v>
      </c>
      <c r="F3" s="20" t="s">
        <v>25</v>
      </c>
      <c r="G3" s="21"/>
      <c r="H3" s="22"/>
    </row>
    <row r="4" spans="1:8" ht="12.75">
      <c r="A4" s="6" t="s">
        <v>11</v>
      </c>
      <c r="B4" s="75">
        <v>0.04207000000000001</v>
      </c>
      <c r="C4" s="11"/>
      <c r="D4" s="18" t="s">
        <v>6</v>
      </c>
      <c r="E4" s="23">
        <f>QUOTIENT($E$3,$B$3)</f>
        <v>15</v>
      </c>
      <c r="F4" s="24" t="s">
        <v>8</v>
      </c>
      <c r="G4" s="21">
        <f>MOD($E$3,$B$3)*12/$B$3</f>
        <v>0</v>
      </c>
      <c r="H4" s="22" t="s">
        <v>7</v>
      </c>
    </row>
    <row r="5" spans="1:8" ht="12.75">
      <c r="A5" s="6" t="s">
        <v>30</v>
      </c>
      <c r="B5" s="9">
        <f>$B$1*$B$2/$B$3+$B$1*$B$4/$B$3</f>
        <v>297.21000000000004</v>
      </c>
      <c r="C5" s="11"/>
      <c r="D5" s="23" t="s">
        <v>23</v>
      </c>
      <c r="E5" s="62">
        <f>VLOOKUP($E$3,Zahlungsplan!$A$2:$E$481,5)</f>
        <v>50.26308983044961</v>
      </c>
      <c r="F5" s="65">
        <f>VLOOKUP($E$3,Zahlungsplan!$A$2:$F$481,6)</f>
        <v>42822</v>
      </c>
      <c r="G5" s="63"/>
      <c r="H5" s="22"/>
    </row>
    <row r="6" spans="1:8" ht="12.75">
      <c r="A6" s="6" t="s">
        <v>12</v>
      </c>
      <c r="B6" s="4">
        <v>9</v>
      </c>
      <c r="C6" s="11" t="s">
        <v>8</v>
      </c>
      <c r="D6" s="64"/>
      <c r="E6" s="64"/>
      <c r="F6" s="20"/>
      <c r="G6" s="21"/>
      <c r="H6" s="22"/>
    </row>
    <row r="7" spans="1:8" ht="12.75">
      <c r="A7" s="29" t="s">
        <v>36</v>
      </c>
      <c r="B7" s="36" t="s">
        <v>38</v>
      </c>
      <c r="C7" s="30"/>
      <c r="D7" s="18" t="s">
        <v>31</v>
      </c>
      <c r="E7" s="25">
        <f>IF($E$9,$B$5-VLOOKUP(Zahlungsplan!$G$2,Zahlungsplan!$A$2:$D$481,4)*Parameter!$B$2/Parameter!$B$3+VLOOKUP(Zahlungsplan!$G$2,Zahlungsplan!A23:D481,4)*$B$8/$B$3,$B$5)</f>
        <v>297.21000000000004</v>
      </c>
      <c r="F7" s="31"/>
      <c r="G7" s="32"/>
      <c r="H7" s="33"/>
    </row>
    <row r="8" spans="1:8" ht="12.75">
      <c r="A8" s="6" t="s">
        <v>13</v>
      </c>
      <c r="B8" s="2">
        <v>0.035</v>
      </c>
      <c r="C8" s="11"/>
      <c r="D8" s="35" t="s">
        <v>18</v>
      </c>
      <c r="E8" s="34" t="b">
        <f>IF($B$7="konstante Rate",TRUE,FALSE)</f>
        <v>1</v>
      </c>
      <c r="F8" s="20"/>
      <c r="G8" s="21"/>
      <c r="H8" s="22"/>
    </row>
    <row r="9" spans="1:8" ht="21.75" customHeight="1">
      <c r="A9" s="66" t="s">
        <v>19</v>
      </c>
      <c r="B9" s="67">
        <v>37343</v>
      </c>
      <c r="C9" s="68"/>
      <c r="D9" s="69" t="s">
        <v>27</v>
      </c>
      <c r="E9" s="70" t="b">
        <f>NOT($E$8)</f>
        <v>0</v>
      </c>
      <c r="F9" s="71"/>
      <c r="G9" s="72"/>
      <c r="H9" s="73"/>
    </row>
    <row r="10" spans="1:8" ht="12.75">
      <c r="A10" s="29" t="s">
        <v>20</v>
      </c>
      <c r="B10" s="36" t="s">
        <v>21</v>
      </c>
      <c r="C10" s="30"/>
      <c r="D10" s="18" t="s">
        <v>30</v>
      </c>
      <c r="E10" s="25">
        <f>$B$5</f>
        <v>297.21000000000004</v>
      </c>
      <c r="F10" s="31"/>
      <c r="G10" s="32"/>
      <c r="H10" s="33"/>
    </row>
    <row r="11" spans="1:8" ht="13.5" thickBot="1">
      <c r="A11" s="8" t="s">
        <v>29</v>
      </c>
      <c r="B11" s="77">
        <v>4</v>
      </c>
      <c r="C11" s="12" t="s">
        <v>25</v>
      </c>
      <c r="D11" s="78" t="s">
        <v>35</v>
      </c>
      <c r="E11" s="25">
        <f>IF($B$11&gt;0,Zahlungsplan!$E$2,"unzutreffend")</f>
        <v>171</v>
      </c>
      <c r="F11" s="26"/>
      <c r="G11" s="27"/>
      <c r="H11" s="28"/>
    </row>
    <row r="12" spans="1:8" s="38" customFormat="1" ht="27" customHeight="1" thickBot="1">
      <c r="A12" s="37" t="s">
        <v>15</v>
      </c>
      <c r="B12" s="76">
        <v>297.21</v>
      </c>
      <c r="C12" s="81"/>
      <c r="D12" s="82"/>
      <c r="E12" s="82"/>
      <c r="F12" s="82"/>
      <c r="G12" s="82"/>
      <c r="H12" s="82"/>
    </row>
    <row r="13" spans="1:8" ht="26.25" customHeight="1">
      <c r="A13" s="37" t="s">
        <v>28</v>
      </c>
      <c r="B13" s="76">
        <v>50000</v>
      </c>
      <c r="C13" s="82"/>
      <c r="D13" s="82"/>
      <c r="E13" s="82"/>
      <c r="F13" s="82"/>
      <c r="G13" s="82"/>
      <c r="H13" s="82"/>
    </row>
    <row r="17" ht="12">
      <c r="E17" s="74"/>
    </row>
  </sheetData>
  <sheetProtection sheet="1" objects="1" scenarios="1" selectLockedCells="1"/>
  <mergeCells count="1">
    <mergeCell ref="C12:H13"/>
  </mergeCells>
  <conditionalFormatting sqref="B4">
    <cfRule type="cellIs" priority="1" dxfId="0" operator="lessThan" stopIfTrue="1">
      <formula>0</formula>
    </cfRule>
  </conditionalFormatting>
  <conditionalFormatting sqref="E3">
    <cfRule type="cellIs" priority="2" dxfId="1" operator="greaterThanOrEqual" stopIfTrue="1">
      <formula>480</formula>
    </cfRule>
  </conditionalFormatting>
  <dataValidations count="10">
    <dataValidation type="decimal" showInputMessage="1" showErrorMessage="1" errorTitle="Gültige Werte für Anfangszinssat" error="Geben Sie hier einen Zahlenwert zwischen 1% und 20% ein!" sqref="B2">
      <formula1>0.01</formula1>
      <formula2>0.2</formula2>
    </dataValidation>
    <dataValidation type="decimal" allowBlank="1" showInputMessage="1" showErrorMessage="1" promptTitle="Anfangstilgung" prompt="Geben Sie hier die auf ein Jahr bezogene Anfangstilgung als Prozentsatz der Darlehenssumme ein!&#10;Alternativ können Sie diesen Wert berechnen lassen, indem Sie in Zelle B11 eine Wunschrate oder in Zelle B12 eine Wunsch-Restschuld vorgeben.&#10;" errorTitle="Gültige Werte für Anfangstilgung" error="Geben Sie hier einen Wert zwischen 0% und 50% an!" sqref="B4">
      <formula1>0</formula1>
      <formula2>0.5</formula2>
    </dataValidation>
    <dataValidation type="list" allowBlank="1" showInputMessage="1" showErrorMessage="1" promptTitle="Strategie nach Zinsbindung:" prompt="&#10;Stetige Tilgung: Am Ende der Zinsbindung wird die Tilgung stetig weitergeführt. Die Rate ändert sich gem. neuem Zinssatz in Zelle B8.&#10;&#10;Konstante Rate: Am Ende der Zinsbindung wird die Rate konstant gehalten, indem der Tilgungsanteil angepasst wird." sqref="B7">
      <formula1>"konstante Rate,stetige Tilgung"</formula1>
    </dataValidation>
    <dataValidation type="list" allowBlank="1" showInputMessage="1" showErrorMessage="1" sqref="B10">
      <formula1>"vorschüssig, nachschüssig"</formula1>
    </dataValidation>
    <dataValidation type="whole" allowBlank="1" showInputMessage="1" showErrorMessage="1" errorTitle="Gültige Werte für Zinsbindung" error="Bitte geben Sie hier eine ganze Zahl zwischen 1 und 40 Jahren ein!" sqref="B6">
      <formula1>1</formula1>
      <formula2>40</formula2>
    </dataValidation>
    <dataValidation type="decimal" allowBlank="1" showInputMessage="1" showErrorMessage="1" promptTitle="Wunschrate eingeben" prompt="Geben Sie hier Ihre Wunschrate ein, &#10;betätigen Sie die Eingabetaste&#10;und klicken Sie anschließend auf nebenstehende Schaltfläche &quot;Tilgung für Rate berechnen&quot;!" errorTitle="Mindestrate, Höchstrate" error="Ihre Wunschrate muss mindestens die Zinsen plus 1€ betragen!&#10;Wert: s. Tabellenblatt Zahlungsplan Zelle B2!&#10;&#10;Die größte Zulässige Rate ist die halbe Darlehenssumme." sqref="B12">
      <formula1>$B$1*$B$2/$B$3+1</formula1>
      <formula2>$B$1/2</formula2>
    </dataValidation>
    <dataValidation type="decimal" allowBlank="1" showInputMessage="1" showErrorMessage="1" promptTitle="Wunsch-Restschuld" prompt="Geben Sie hier die Restschuld ein, die Sie am Ende der Zinsbindung noch haben möchten.&#10;Betätigen Sie dann die Eingabetaste.&#10;Klicken sie anschließend auf &quot;Tilgung für Restschuld berechnen&quot;, damit die passende Angangstilgung in Zelle B4 eingetragen wird." errorTitle="Wertebereich Wunsch-Restschuld" error="Die Werte für die eingegebene Wunsch-Restschuld müssen zwischen Null und der Darlehenssumme liegen." sqref="B13">
      <formula1>0</formula1>
      <formula2>$B$1</formula2>
    </dataValidation>
    <dataValidation type="decimal" allowBlank="1" showInputMessage="1" showErrorMessage="1" promptTitle="Künftiger Zinssatz" prompt="Geben Sie hier den Nominalzins ein, den Sie am Ende der Zinsbindungsfrist erwarten" errorTitle="Wertebereich künftiger Zinssatz" error="Die Werte für den künftigen Zinssatz müssen zwischen 0% und 50% liegen." sqref="B8">
      <formula1>0</formula1>
      <formula2>50</formula2>
    </dataValidation>
    <dataValidation type="decimal" allowBlank="1" showInputMessage="1" showErrorMessage="1" promptTitle="Tilgungsfreie Zeit" prompt="Geben Sie hier die Anzahl Perioden (vgl. Zelle B3!) ein, während der zu Beginn der Laufzeit die Tilgung ausgesetzt ist." errorTitle="Wertebereich Tilgungsfreie Zeit" error="Die Anzahl Perioden muss zwischen Null und der Gesamtlaufzeit liegen." sqref="B11">
      <formula1>0</formula1>
      <formula2>E3</formula2>
    </dataValidation>
    <dataValidation type="whole" showInputMessage="1" showErrorMessage="1" promptTitle="Anzahl Perioden" prompt="&#10;Geben Sie hier ein, wie viele Zinszahlungen Sie pro Jahr leisten müssen.&#10;Wenn Sie monatlich zahlen, tragen Sie hier eine &quot;12&quot; ein!&#10;Zahlen Sie Quartalsweise, tragen Sie eine &quot;4&quot; ein!" errorTitle="Wertebereich Anzahl Perioden" error="Der Wert muss eine ganze Zahl zwischen 1 (jährliche Zahlung) und 365 (tägliche Zahlung) sein." sqref="B3">
      <formula1>1</formula1>
      <formula2>365</formula2>
    </dataValidation>
  </dataValidations>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Tabelle2"/>
  <dimension ref="A1:H481"/>
  <sheetViews>
    <sheetView workbookViewId="0" topLeftCell="A1">
      <pane ySplit="2" topLeftCell="BM3" activePane="bottomLeft" state="frozen"/>
      <selection pane="topLeft" activeCell="A1" sqref="A1"/>
      <selection pane="bottomLeft" activeCell="G2" sqref="G2"/>
    </sheetView>
  </sheetViews>
  <sheetFormatPr defaultColWidth="11.00390625" defaultRowHeight="12.75"/>
  <cols>
    <col min="1" max="1" width="11.00390625" style="53" customWidth="1"/>
    <col min="2" max="4" width="16.00390625" style="54" customWidth="1"/>
    <col min="5" max="5" width="18.625" style="55" customWidth="1"/>
    <col min="6" max="6" width="18.625" style="61" customWidth="1"/>
    <col min="7" max="7" width="17.625" style="56" bestFit="1" customWidth="1"/>
    <col min="8" max="8" width="19.375" style="57" bestFit="1" customWidth="1"/>
    <col min="9" max="16384" width="11.00390625" style="56" customWidth="1"/>
  </cols>
  <sheetData>
    <row r="1" spans="1:8" s="42" customFormat="1" ht="15" customHeight="1">
      <c r="A1" s="39" t="s">
        <v>24</v>
      </c>
      <c r="B1" s="40" t="s">
        <v>0</v>
      </c>
      <c r="C1" s="40" t="s">
        <v>1</v>
      </c>
      <c r="D1" s="40" t="s">
        <v>14</v>
      </c>
      <c r="E1" s="41" t="s">
        <v>2</v>
      </c>
      <c r="F1" s="58" t="s">
        <v>22</v>
      </c>
      <c r="G1" s="80" t="s">
        <v>33</v>
      </c>
      <c r="H1" s="42" t="s">
        <v>34</v>
      </c>
    </row>
    <row r="2" spans="1:8" s="46" customFormat="1" ht="12.75">
      <c r="A2" s="43">
        <v>1</v>
      </c>
      <c r="B2" s="44">
        <f>Parameter!$B$1*Parameter!$B$2/Parameter!$B$3</f>
        <v>171</v>
      </c>
      <c r="C2" s="44">
        <f>IF($A2&gt;=$G$3,Parameter!$B$1*Parameter!$B$4/Parameter!$B$3,0)</f>
        <v>0</v>
      </c>
      <c r="D2" s="44">
        <f>Parameter!$B$1-$C$2</f>
        <v>36000</v>
      </c>
      <c r="E2" s="45">
        <f>$B2+$C2</f>
        <v>171</v>
      </c>
      <c r="F2" s="59">
        <f>IF($E2&gt;0,IF(Parameter!$B$10="vorschüssig",_XLL.EDATUM(Parameter!$B$9,(A2-1)*12/Parameter!$B$3),_XLL.EDATUM(Parameter!$B$9,A2*12/Parameter!$B$3)),"")</f>
        <v>37374</v>
      </c>
      <c r="G2" s="46">
        <f>Parameter!$B$6*Parameter!$B$3</f>
        <v>108</v>
      </c>
      <c r="H2" s="46" t="s">
        <v>37</v>
      </c>
    </row>
    <row r="3" spans="1:8" s="46" customFormat="1" ht="12.75">
      <c r="A3" s="43">
        <v>2</v>
      </c>
      <c r="B3" s="44">
        <f>IF($D2&gt;0,IF($A3&gt;$G$2,$D2*Parameter!$B$8/Parameter!$B$3,$D2*Parameter!$B$2/Parameter!$B$3),0)</f>
        <v>171</v>
      </c>
      <c r="C3" s="44">
        <f>IF($A2&gt;=$G$3,MIN(IF(AND($A3&gt;$G$2,Parameter!$E$9),Parameter!$E$7-Zahlungsplan!$B3,Parameter!$B$5-$B3),$D2),0)</f>
        <v>0</v>
      </c>
      <c r="D3" s="44">
        <f>$D2-$C3</f>
        <v>36000</v>
      </c>
      <c r="E3" s="45">
        <f aca="true" t="shared" si="0" ref="E3:E66">$B3+$C3</f>
        <v>171</v>
      </c>
      <c r="F3" s="59">
        <f>IF($E3&gt;0,IF(Parameter!$B$10="vorschüssig",_XLL.EDATUM(Parameter!$B$9,(A3-1)*12/Parameter!$B$3),_XLL.EDATUM(Parameter!$B$9,A3*12/Parameter!$B$3)),"")</f>
        <v>37404</v>
      </c>
      <c r="G3" s="79">
        <f>Parameter!$B$11</f>
        <v>4</v>
      </c>
      <c r="H3" s="46" t="s">
        <v>32</v>
      </c>
    </row>
    <row r="4" spans="1:6" s="46" customFormat="1" ht="12.75">
      <c r="A4" s="43">
        <v>3</v>
      </c>
      <c r="B4" s="44">
        <f>IF($D3&gt;0,IF($A4&gt;$G$2,$D3*Parameter!$B$8/Parameter!$B$3,$D3*Parameter!$B$2/Parameter!$B$3),0)</f>
        <v>171</v>
      </c>
      <c r="C4" s="44">
        <f>IF($A3&gt;=$G$3,MIN(IF(AND($A4&gt;$G$2,Parameter!$E$9),Parameter!$E$7-Zahlungsplan!$B4,Parameter!$B$5-$B4),$D3),0)</f>
        <v>0</v>
      </c>
      <c r="D4" s="44">
        <f aca="true" t="shared" si="1" ref="D4:D67">$D3-$C4</f>
        <v>36000</v>
      </c>
      <c r="E4" s="45">
        <f t="shared" si="0"/>
        <v>171</v>
      </c>
      <c r="F4" s="59">
        <f>IF($E4&gt;0,IF(Parameter!$B$10="vorschüssig",_XLL.EDATUM(Parameter!$B$9,(A4-1)*12/Parameter!$B$3),_XLL.EDATUM(Parameter!$B$9,A4*12/Parameter!$B$3)),"")</f>
        <v>37435</v>
      </c>
    </row>
    <row r="5" spans="1:6" s="46" customFormat="1" ht="12.75">
      <c r="A5" s="43">
        <v>4</v>
      </c>
      <c r="B5" s="44">
        <f>IF($D4&gt;0,IF($A5&gt;$G$2,$D4*Parameter!$B$8/Parameter!$B$3,$D4*Parameter!$B$2/Parameter!$B$3),0)</f>
        <v>171</v>
      </c>
      <c r="C5" s="44">
        <f>IF($A4&gt;=$G$3,MIN(IF(AND($A5&gt;$G$2,Parameter!$E$9),Parameter!$E$7-Zahlungsplan!$B5,Parameter!$B$5-$B5),$D4),0)</f>
        <v>0</v>
      </c>
      <c r="D5" s="44">
        <f t="shared" si="1"/>
        <v>36000</v>
      </c>
      <c r="E5" s="45">
        <f t="shared" si="0"/>
        <v>171</v>
      </c>
      <c r="F5" s="59">
        <f>IF($E5&gt;0,IF(Parameter!$B$10="vorschüssig",_XLL.EDATUM(Parameter!$B$9,(A5-1)*12/Parameter!$B$3),_XLL.EDATUM(Parameter!$B$9,A5*12/Parameter!$B$3)),"")</f>
        <v>37465</v>
      </c>
    </row>
    <row r="6" spans="1:6" s="46" customFormat="1" ht="12.75">
      <c r="A6" s="43">
        <v>5</v>
      </c>
      <c r="B6" s="44">
        <f>IF($D5&gt;0,IF($A6&gt;$G$2,$D5*Parameter!$B$8/Parameter!$B$3,$D5*Parameter!$B$2/Parameter!$B$3),0)</f>
        <v>171</v>
      </c>
      <c r="C6" s="44">
        <f>IF($A5&gt;=$G$3,MIN(IF(AND($A6&gt;$G$2,Parameter!$E$9),Parameter!$E$7-Zahlungsplan!$B6,Parameter!$B$5-$B6),$D5),0)</f>
        <v>126.21000000000004</v>
      </c>
      <c r="D6" s="44">
        <f t="shared" si="1"/>
        <v>35873.79</v>
      </c>
      <c r="E6" s="45">
        <f t="shared" si="0"/>
        <v>297.21000000000004</v>
      </c>
      <c r="F6" s="59">
        <f>IF($E6&gt;0,IF(Parameter!$B$10="vorschüssig",_XLL.EDATUM(Parameter!$B$9,(A6-1)*12/Parameter!$B$3),_XLL.EDATUM(Parameter!$B$9,A6*12/Parameter!$B$3)),"")</f>
        <v>37496</v>
      </c>
    </row>
    <row r="7" spans="1:6" s="46" customFormat="1" ht="12.75">
      <c r="A7" s="43">
        <v>6</v>
      </c>
      <c r="B7" s="44">
        <f>IF($D6&gt;0,IF($A7&gt;$G$2,$D6*Parameter!$B$8/Parameter!$B$3,$D6*Parameter!$B$2/Parameter!$B$3),0)</f>
        <v>170.40050250000002</v>
      </c>
      <c r="C7" s="44">
        <f>IF($A6&gt;=$G$3,MIN(IF(AND($A7&gt;$G$2,Parameter!$E$9),Parameter!$E$7-Zahlungsplan!$B7,Parameter!$B$5-$B7),$D6),0)</f>
        <v>126.80949750000002</v>
      </c>
      <c r="D7" s="44">
        <f t="shared" si="1"/>
        <v>35746.9805025</v>
      </c>
      <c r="E7" s="45">
        <f t="shared" si="0"/>
        <v>297.21000000000004</v>
      </c>
      <c r="F7" s="59">
        <f>IF($E7&gt;0,IF(Parameter!$B$10="vorschüssig",_XLL.EDATUM(Parameter!$B$9,(A7-1)*12/Parameter!$B$3),_XLL.EDATUM(Parameter!$B$9,A7*12/Parameter!$B$3)),"")</f>
        <v>37527</v>
      </c>
    </row>
    <row r="8" spans="1:6" s="46" customFormat="1" ht="12.75">
      <c r="A8" s="43">
        <v>7</v>
      </c>
      <c r="B8" s="44">
        <f>IF($D7&gt;0,IF($A8&gt;$G$2,$D7*Parameter!$B$8/Parameter!$B$3,$D7*Parameter!$B$2/Parameter!$B$3),0)</f>
        <v>169.79815738687503</v>
      </c>
      <c r="C8" s="44">
        <f>IF($A7&gt;=$G$3,MIN(IF(AND($A8&gt;$G$2,Parameter!$E$9),Parameter!$E$7-Zahlungsplan!$B8,Parameter!$B$5-$B8),$D7),0)</f>
        <v>127.411842613125</v>
      </c>
      <c r="D8" s="44">
        <f t="shared" si="1"/>
        <v>35619.56865988688</v>
      </c>
      <c r="E8" s="45">
        <f t="shared" si="0"/>
        <v>297.21000000000004</v>
      </c>
      <c r="F8" s="59">
        <f>IF($E8&gt;0,IF(Parameter!$B$10="vorschüssig",_XLL.EDATUM(Parameter!$B$9,(A8-1)*12/Parameter!$B$3),_XLL.EDATUM(Parameter!$B$9,A8*12/Parameter!$B$3)),"")</f>
        <v>37557</v>
      </c>
    </row>
    <row r="9" spans="1:8" s="46" customFormat="1" ht="12.75">
      <c r="A9" s="43">
        <v>8</v>
      </c>
      <c r="B9" s="44">
        <f>IF($D8&gt;0,IF($A9&gt;$G$2,$D8*Parameter!$B$8/Parameter!$B$3,$D8*Parameter!$B$2/Parameter!$B$3),0)</f>
        <v>169.19295113446267</v>
      </c>
      <c r="C9" s="44">
        <f>IF($A8&gt;=$G$3,MIN(IF(AND($A9&gt;$G$2,Parameter!$E$9),Parameter!$E$7-Zahlungsplan!$B9,Parameter!$B$5-$B9),$D8),0)</f>
        <v>128.01704886553736</v>
      </c>
      <c r="D9" s="44">
        <f t="shared" si="1"/>
        <v>35491.55161102134</v>
      </c>
      <c r="E9" s="45">
        <f t="shared" si="0"/>
        <v>297.21000000000004</v>
      </c>
      <c r="F9" s="59">
        <f>IF($E9&gt;0,IF(Parameter!$B$10="vorschüssig",_XLL.EDATUM(Parameter!$B$9,(A9-1)*12/Parameter!$B$3),_XLL.EDATUM(Parameter!$B$9,A9*12/Parameter!$B$3)),"")</f>
        <v>37588</v>
      </c>
      <c r="H9" s="47"/>
    </row>
    <row r="10" spans="1:8" s="46" customFormat="1" ht="12.75">
      <c r="A10" s="43">
        <v>9</v>
      </c>
      <c r="B10" s="44">
        <f>IF($D9&gt;0,IF($A10&gt;$G$2,$D9*Parameter!$B$8/Parameter!$B$3,$D9*Parameter!$B$2/Parameter!$B$3),0)</f>
        <v>168.58487015235139</v>
      </c>
      <c r="C10" s="44">
        <f>IF($A9&gt;=$G$3,MIN(IF(AND($A10&gt;$G$2,Parameter!$E$9),Parameter!$E$7-Zahlungsplan!$B10,Parameter!$B$5-$B10),$D9),0)</f>
        <v>128.62512984764865</v>
      </c>
      <c r="D10" s="44">
        <f t="shared" si="1"/>
        <v>35362.926481173694</v>
      </c>
      <c r="E10" s="45">
        <f t="shared" si="0"/>
        <v>297.21000000000004</v>
      </c>
      <c r="F10" s="59">
        <f>IF($E10&gt;0,IF(Parameter!$B$10="vorschüssig",_XLL.EDATUM(Parameter!$B$9,(A10-1)*12/Parameter!$B$3),_XLL.EDATUM(Parameter!$B$9,A10*12/Parameter!$B$3)),"")</f>
        <v>37618</v>
      </c>
      <c r="H10" s="47"/>
    </row>
    <row r="11" spans="1:8" s="46" customFormat="1" ht="12.75">
      <c r="A11" s="43">
        <v>10</v>
      </c>
      <c r="B11" s="44">
        <f>IF($D10&gt;0,IF($A11&gt;$G$2,$D10*Parameter!$B$8/Parameter!$B$3,$D10*Parameter!$B$2/Parameter!$B$3),0)</f>
        <v>167.97390078557507</v>
      </c>
      <c r="C11" s="44">
        <f>IF($A10&gt;=$G$3,MIN(IF(AND($A11&gt;$G$2,Parameter!$E$9),Parameter!$E$7-Zahlungsplan!$B11,Parameter!$B$5-$B11),$D10),0)</f>
        <v>129.23609921442497</v>
      </c>
      <c r="D11" s="44">
        <f t="shared" si="1"/>
        <v>35233.69038195927</v>
      </c>
      <c r="E11" s="45">
        <f t="shared" si="0"/>
        <v>297.21000000000004</v>
      </c>
      <c r="F11" s="59">
        <f>IF($E11&gt;0,IF(Parameter!$B$10="vorschüssig",_XLL.EDATUM(Parameter!$B$9,(A11-1)*12/Parameter!$B$3),_XLL.EDATUM(Parameter!$B$9,A11*12/Parameter!$B$3)),"")</f>
        <v>37649</v>
      </c>
      <c r="H11" s="47"/>
    </row>
    <row r="12" spans="1:8" s="46" customFormat="1" ht="12.75">
      <c r="A12" s="43">
        <v>11</v>
      </c>
      <c r="B12" s="44">
        <f>IF($D11&gt;0,IF($A12&gt;$G$2,$D11*Parameter!$B$8/Parameter!$B$3,$D11*Parameter!$B$2/Parameter!$B$3),0)</f>
        <v>167.36002931430653</v>
      </c>
      <c r="C12" s="44">
        <f>IF($A11&gt;=$G$3,MIN(IF(AND($A12&gt;$G$2,Parameter!$E$9),Parameter!$E$7-Zahlungsplan!$B12,Parameter!$B$5-$B12),$D11),0)</f>
        <v>129.8499706856935</v>
      </c>
      <c r="D12" s="44">
        <f t="shared" si="1"/>
        <v>35103.84041127357</v>
      </c>
      <c r="E12" s="45">
        <f t="shared" si="0"/>
        <v>297.21000000000004</v>
      </c>
      <c r="F12" s="59">
        <f>IF($E12&gt;0,IF(Parameter!$B$10="vorschüssig",_XLL.EDATUM(Parameter!$B$9,(A12-1)*12/Parameter!$B$3),_XLL.EDATUM(Parameter!$B$9,A12*12/Parameter!$B$3)),"")</f>
        <v>37680</v>
      </c>
      <c r="H12" s="47"/>
    </row>
    <row r="13" spans="1:8" s="46" customFormat="1" ht="12.75">
      <c r="A13" s="43">
        <v>12</v>
      </c>
      <c r="B13" s="44">
        <f>IF($D12&gt;0,IF($A13&gt;$G$2,$D12*Parameter!$B$8/Parameter!$B$3,$D12*Parameter!$B$2/Parameter!$B$3),0)</f>
        <v>166.74324195354947</v>
      </c>
      <c r="C13" s="44">
        <f>IF($A12&gt;=$G$3,MIN(IF(AND($A13&gt;$G$2,Parameter!$E$9),Parameter!$E$7-Zahlungsplan!$B13,Parameter!$B$5-$B13),$D12),0)</f>
        <v>130.46675804645056</v>
      </c>
      <c r="D13" s="44">
        <f t="shared" si="1"/>
        <v>34973.37365322712</v>
      </c>
      <c r="E13" s="45">
        <f t="shared" si="0"/>
        <v>297.21000000000004</v>
      </c>
      <c r="F13" s="59">
        <f>IF($E13&gt;0,IF(Parameter!$B$10="vorschüssig",_XLL.EDATUM(Parameter!$B$9,(A13-1)*12/Parameter!$B$3),_XLL.EDATUM(Parameter!$B$9,A13*12/Parameter!$B$3)),"")</f>
        <v>37708</v>
      </c>
      <c r="H13" s="47"/>
    </row>
    <row r="14" spans="1:8" s="46" customFormat="1" ht="12.75">
      <c r="A14" s="43">
        <v>13</v>
      </c>
      <c r="B14" s="44">
        <f>IF($D13&gt;0,IF($A14&gt;$G$2,$D13*Parameter!$B$8/Parameter!$B$3,$D13*Parameter!$B$2/Parameter!$B$3),0)</f>
        <v>166.12352485282884</v>
      </c>
      <c r="C14" s="44">
        <f>IF($A13&gt;=$G$3,MIN(IF(AND($A14&gt;$G$2,Parameter!$E$9),Parameter!$E$7-Zahlungsplan!$B14,Parameter!$B$5-$B14),$D13),0)</f>
        <v>131.0864751471712</v>
      </c>
      <c r="D14" s="44">
        <f t="shared" si="1"/>
        <v>34842.28717807995</v>
      </c>
      <c r="E14" s="45">
        <f t="shared" si="0"/>
        <v>297.21000000000004</v>
      </c>
      <c r="F14" s="59">
        <f>IF($E14&gt;0,IF(Parameter!$B$10="vorschüssig",_XLL.EDATUM(Parameter!$B$9,(A14-1)*12/Parameter!$B$3),_XLL.EDATUM(Parameter!$B$9,A14*12/Parameter!$B$3)),"")</f>
        <v>37739</v>
      </c>
      <c r="H14" s="47"/>
    </row>
    <row r="15" spans="1:8" s="46" customFormat="1" ht="12.75">
      <c r="A15" s="43">
        <v>14</v>
      </c>
      <c r="B15" s="44">
        <f>IF($D14&gt;0,IF($A15&gt;$G$2,$D14*Parameter!$B$8/Parameter!$B$3,$D14*Parameter!$B$2/Parameter!$B$3),0)</f>
        <v>165.50086409587976</v>
      </c>
      <c r="C15" s="44">
        <f>IF($A14&gt;=$G$3,MIN(IF(AND($A15&gt;$G$2,Parameter!$E$9),Parameter!$E$7-Zahlungsplan!$B15,Parameter!$B$5-$B15),$D14),0)</f>
        <v>131.70913590412027</v>
      </c>
      <c r="D15" s="44">
        <f t="shared" si="1"/>
        <v>34710.578042175825</v>
      </c>
      <c r="E15" s="45">
        <f t="shared" si="0"/>
        <v>297.21000000000004</v>
      </c>
      <c r="F15" s="59">
        <f>IF($E15&gt;0,IF(Parameter!$B$10="vorschüssig",_XLL.EDATUM(Parameter!$B$9,(A15-1)*12/Parameter!$B$3),_XLL.EDATUM(Parameter!$B$9,A15*12/Parameter!$B$3)),"")</f>
        <v>37769</v>
      </c>
      <c r="H15" s="47"/>
    </row>
    <row r="16" spans="1:8" s="46" customFormat="1" ht="12.75">
      <c r="A16" s="43">
        <v>15</v>
      </c>
      <c r="B16" s="44">
        <f>IF($D15&gt;0,IF($A16&gt;$G$2,$D15*Parameter!$B$8/Parameter!$B$3,$D15*Parameter!$B$2/Parameter!$B$3),0)</f>
        <v>164.87524570033517</v>
      </c>
      <c r="C16" s="44">
        <f>IF($A15&gt;=$G$3,MIN(IF(AND($A16&gt;$G$2,Parameter!$E$9),Parameter!$E$7-Zahlungsplan!$B16,Parameter!$B$5-$B16),$D15),0)</f>
        <v>132.33475429966487</v>
      </c>
      <c r="D16" s="44">
        <f t="shared" si="1"/>
        <v>34578.24328787616</v>
      </c>
      <c r="E16" s="45">
        <f t="shared" si="0"/>
        <v>297.21000000000004</v>
      </c>
      <c r="F16" s="59">
        <f>IF($E16&gt;0,IF(Parameter!$B$10="vorschüssig",_XLL.EDATUM(Parameter!$B$9,(A16-1)*12/Parameter!$B$3),_XLL.EDATUM(Parameter!$B$9,A16*12/Parameter!$B$3)),"")</f>
        <v>37800</v>
      </c>
      <c r="H16" s="47"/>
    </row>
    <row r="17" spans="1:8" s="46" customFormat="1" ht="12.75">
      <c r="A17" s="43">
        <v>16</v>
      </c>
      <c r="B17" s="44">
        <f>IF($D16&gt;0,IF($A17&gt;$G$2,$D16*Parameter!$B$8/Parameter!$B$3,$D16*Parameter!$B$2/Parameter!$B$3),0)</f>
        <v>164.2466556174118</v>
      </c>
      <c r="C17" s="44">
        <f>IF($A16&gt;=$G$3,MIN(IF(AND($A17&gt;$G$2,Parameter!$E$9),Parameter!$E$7-Zahlungsplan!$B17,Parameter!$B$5-$B17),$D16),0)</f>
        <v>132.96334438258825</v>
      </c>
      <c r="D17" s="44">
        <f t="shared" si="1"/>
        <v>34445.27994349357</v>
      </c>
      <c r="E17" s="45">
        <f t="shared" si="0"/>
        <v>297.21000000000004</v>
      </c>
      <c r="F17" s="59">
        <f>IF($E17&gt;0,IF(Parameter!$B$10="vorschüssig",_XLL.EDATUM(Parameter!$B$9,(A17-1)*12/Parameter!$B$3),_XLL.EDATUM(Parameter!$B$9,A17*12/Parameter!$B$3)),"")</f>
        <v>37830</v>
      </c>
      <c r="H17" s="47"/>
    </row>
    <row r="18" spans="1:8" s="46" customFormat="1" ht="12.75">
      <c r="A18" s="43">
        <v>17</v>
      </c>
      <c r="B18" s="44">
        <f>IF($D17&gt;0,IF($A18&gt;$G$2,$D17*Parameter!$B$8/Parameter!$B$3,$D17*Parameter!$B$2/Parameter!$B$3),0)</f>
        <v>163.61507973159448</v>
      </c>
      <c r="C18" s="44">
        <f>IF($A17&gt;=$G$3,MIN(IF(AND($A18&gt;$G$2,Parameter!$E$9),Parameter!$E$7-Zahlungsplan!$B18,Parameter!$B$5-$B18),$D17),0)</f>
        <v>133.59492026840556</v>
      </c>
      <c r="D18" s="44">
        <f t="shared" si="1"/>
        <v>34311.68502322517</v>
      </c>
      <c r="E18" s="45">
        <f t="shared" si="0"/>
        <v>297.21000000000004</v>
      </c>
      <c r="F18" s="59">
        <f>IF($E18&gt;0,IF(Parameter!$B$10="vorschüssig",_XLL.EDATUM(Parameter!$B$9,(A18-1)*12/Parameter!$B$3),_XLL.EDATUM(Parameter!$B$9,A18*12/Parameter!$B$3)),"")</f>
        <v>37861</v>
      </c>
      <c r="H18" s="47"/>
    </row>
    <row r="19" spans="1:8" s="46" customFormat="1" ht="12.75">
      <c r="A19" s="43">
        <v>18</v>
      </c>
      <c r="B19" s="44">
        <f>IF($D18&gt;0,IF($A19&gt;$G$2,$D18*Parameter!$B$8/Parameter!$B$3,$D18*Parameter!$B$2/Parameter!$B$3),0)</f>
        <v>162.98050386031954</v>
      </c>
      <c r="C19" s="44">
        <f>IF($A18&gt;=$G$3,MIN(IF(AND($A19&gt;$G$2,Parameter!$E$9),Parameter!$E$7-Zahlungsplan!$B19,Parameter!$B$5-$B19),$D18),0)</f>
        <v>134.2294961396805</v>
      </c>
      <c r="D19" s="44">
        <f t="shared" si="1"/>
        <v>34177.45552708548</v>
      </c>
      <c r="E19" s="45">
        <f t="shared" si="0"/>
        <v>297.21000000000004</v>
      </c>
      <c r="F19" s="59">
        <f>IF($E19&gt;0,IF(Parameter!$B$10="vorschüssig",_XLL.EDATUM(Parameter!$B$9,(A19-1)*12/Parameter!$B$3),_XLL.EDATUM(Parameter!$B$9,A19*12/Parameter!$B$3)),"")</f>
        <v>37892</v>
      </c>
      <c r="H19" s="47"/>
    </row>
    <row r="20" spans="1:8" s="46" customFormat="1" ht="12.75">
      <c r="A20" s="43">
        <v>19</v>
      </c>
      <c r="B20" s="44">
        <f>IF($D19&gt;0,IF($A20&gt;$G$2,$D19*Parameter!$B$8/Parameter!$B$3,$D19*Parameter!$B$2/Parameter!$B$3),0)</f>
        <v>162.34291375365606</v>
      </c>
      <c r="C20" s="44">
        <f>IF($A19&gt;=$G$3,MIN(IF(AND($A20&gt;$G$2,Parameter!$E$9),Parameter!$E$7-Zahlungsplan!$B20,Parameter!$B$5-$B20),$D19),0)</f>
        <v>134.86708624634397</v>
      </c>
      <c r="D20" s="44">
        <f t="shared" si="1"/>
        <v>34042.58844083914</v>
      </c>
      <c r="E20" s="45">
        <f t="shared" si="0"/>
        <v>297.21000000000004</v>
      </c>
      <c r="F20" s="59">
        <f>IF($E20&gt;0,IF(Parameter!$B$10="vorschüssig",_XLL.EDATUM(Parameter!$B$9,(A20-1)*12/Parameter!$B$3),_XLL.EDATUM(Parameter!$B$9,A20*12/Parameter!$B$3)),"")</f>
        <v>37922</v>
      </c>
      <c r="H20" s="47"/>
    </row>
    <row r="21" spans="1:8" s="46" customFormat="1" ht="12.75">
      <c r="A21" s="43">
        <v>20</v>
      </c>
      <c r="B21" s="44">
        <f>IF($D20&gt;0,IF($A21&gt;$G$2,$D20*Parameter!$B$8/Parameter!$B$3,$D20*Parameter!$B$2/Parameter!$B$3),0)</f>
        <v>161.70229509398595</v>
      </c>
      <c r="C21" s="44">
        <f>IF($A20&gt;=$G$3,MIN(IF(AND($A21&gt;$G$2,Parameter!$E$9),Parameter!$E$7-Zahlungsplan!$B21,Parameter!$B$5-$B21),$D20),0)</f>
        <v>135.50770490601408</v>
      </c>
      <c r="D21" s="44">
        <f t="shared" si="1"/>
        <v>33907.08073593313</v>
      </c>
      <c r="E21" s="45">
        <f t="shared" si="0"/>
        <v>297.21000000000004</v>
      </c>
      <c r="F21" s="59">
        <f>IF($E21&gt;0,IF(Parameter!$B$10="vorschüssig",_XLL.EDATUM(Parameter!$B$9,(A21-1)*12/Parameter!$B$3),_XLL.EDATUM(Parameter!$B$9,A21*12/Parameter!$B$3)),"")</f>
        <v>37953</v>
      </c>
      <c r="H21" s="47"/>
    </row>
    <row r="22" spans="1:8" s="46" customFormat="1" ht="12.75">
      <c r="A22" s="43">
        <v>21</v>
      </c>
      <c r="B22" s="44">
        <f>IF($D21&gt;0,IF($A22&gt;$G$2,$D21*Parameter!$B$8/Parameter!$B$3,$D21*Parameter!$B$2/Parameter!$B$3),0)</f>
        <v>161.05863349568236</v>
      </c>
      <c r="C22" s="44">
        <f>IF($A21&gt;=$G$3,MIN(IF(AND($A22&gt;$G$2,Parameter!$E$9),Parameter!$E$7-Zahlungsplan!$B22,Parameter!$B$5-$B22),$D21),0)</f>
        <v>136.15136650431768</v>
      </c>
      <c r="D22" s="44">
        <f t="shared" si="1"/>
        <v>33770.92936942881</v>
      </c>
      <c r="E22" s="45">
        <f t="shared" si="0"/>
        <v>297.21000000000004</v>
      </c>
      <c r="F22" s="59">
        <f>IF($E22&gt;0,IF(Parameter!$B$10="vorschüssig",_XLL.EDATUM(Parameter!$B$9,(A22-1)*12/Parameter!$B$3),_XLL.EDATUM(Parameter!$B$9,A22*12/Parameter!$B$3)),"")</f>
        <v>37983</v>
      </c>
      <c r="H22" s="47"/>
    </row>
    <row r="23" spans="1:8" s="46" customFormat="1" ht="12.75">
      <c r="A23" s="43">
        <v>22</v>
      </c>
      <c r="B23" s="44">
        <f>IF($D22&gt;0,IF($A23&gt;$G$2,$D22*Parameter!$B$8/Parameter!$B$3,$D22*Parameter!$B$2/Parameter!$B$3),0)</f>
        <v>160.41191450478686</v>
      </c>
      <c r="C23" s="44">
        <f>IF($A22&gt;=$G$3,MIN(IF(AND($A23&gt;$G$2,Parameter!$E$9),Parameter!$E$7-Zahlungsplan!$B23,Parameter!$B$5-$B23),$D22),0)</f>
        <v>136.79808549521317</v>
      </c>
      <c r="D23" s="44">
        <f t="shared" si="1"/>
        <v>33634.1312839336</v>
      </c>
      <c r="E23" s="45">
        <f t="shared" si="0"/>
        <v>297.21000000000004</v>
      </c>
      <c r="F23" s="59">
        <f>IF($E23&gt;0,IF(Parameter!$B$10="vorschüssig",_XLL.EDATUM(Parameter!$B$9,(A23-1)*12/Parameter!$B$3),_XLL.EDATUM(Parameter!$B$9,A23*12/Parameter!$B$3)),"")</f>
        <v>38014</v>
      </c>
      <c r="H23" s="47"/>
    </row>
    <row r="24" spans="1:8" s="46" customFormat="1" ht="12.75">
      <c r="A24" s="43">
        <v>23</v>
      </c>
      <c r="B24" s="44">
        <f>IF($D23&gt;0,IF($A24&gt;$G$2,$D23*Parameter!$B$8/Parameter!$B$3,$D23*Parameter!$B$2/Parameter!$B$3),0)</f>
        <v>159.7621235986846</v>
      </c>
      <c r="C24" s="44">
        <f>IF($A23&gt;=$G$3,MIN(IF(AND($A24&gt;$G$2,Parameter!$E$9),Parameter!$E$7-Zahlungsplan!$B24,Parameter!$B$5-$B24),$D23),0)</f>
        <v>137.44787640131543</v>
      </c>
      <c r="D24" s="44">
        <f t="shared" si="1"/>
        <v>33496.683407532284</v>
      </c>
      <c r="E24" s="45">
        <f t="shared" si="0"/>
        <v>297.21000000000004</v>
      </c>
      <c r="F24" s="59">
        <f>IF($E24&gt;0,IF(Parameter!$B$10="vorschüssig",_XLL.EDATUM(Parameter!$B$9,(A24-1)*12/Parameter!$B$3),_XLL.EDATUM(Parameter!$B$9,A24*12/Parameter!$B$3)),"")</f>
        <v>38045</v>
      </c>
      <c r="H24" s="47"/>
    </row>
    <row r="25" spans="1:8" s="46" customFormat="1" ht="12.75">
      <c r="A25" s="43">
        <v>24</v>
      </c>
      <c r="B25" s="44">
        <f>IF($D24&gt;0,IF($A25&gt;$G$2,$D24*Parameter!$B$8/Parameter!$B$3,$D24*Parameter!$B$2/Parameter!$B$3),0)</f>
        <v>159.10924618577835</v>
      </c>
      <c r="C25" s="44">
        <f>IF($A24&gt;=$G$3,MIN(IF(AND($A25&gt;$G$2,Parameter!$E$9),Parameter!$E$7-Zahlungsplan!$B25,Parameter!$B$5-$B25),$D24),0)</f>
        <v>138.1007538142217</v>
      </c>
      <c r="D25" s="44">
        <f t="shared" si="1"/>
        <v>33358.58265371806</v>
      </c>
      <c r="E25" s="45">
        <f t="shared" si="0"/>
        <v>297.21000000000004</v>
      </c>
      <c r="F25" s="59">
        <f>IF($E25&gt;0,IF(Parameter!$B$10="vorschüssig",_XLL.EDATUM(Parameter!$B$9,(A25-1)*12/Parameter!$B$3),_XLL.EDATUM(Parameter!$B$9,A25*12/Parameter!$B$3)),"")</f>
        <v>38074</v>
      </c>
      <c r="H25" s="47"/>
    </row>
    <row r="26" spans="1:8" s="46" customFormat="1" ht="12.75">
      <c r="A26" s="43">
        <v>25</v>
      </c>
      <c r="B26" s="44">
        <f>IF($D25&gt;0,IF($A26&gt;$G$2,$D25*Parameter!$B$8/Parameter!$B$3,$D25*Parameter!$B$2/Parameter!$B$3),0)</f>
        <v>158.4532676051608</v>
      </c>
      <c r="C26" s="44">
        <f>IF($A25&gt;=$G$3,MIN(IF(AND($A26&gt;$G$2,Parameter!$E$9),Parameter!$E$7-Zahlungsplan!$B26,Parameter!$B$5-$B26),$D25),0)</f>
        <v>138.75673239483925</v>
      </c>
      <c r="D26" s="44">
        <f t="shared" si="1"/>
        <v>33219.82592132322</v>
      </c>
      <c r="E26" s="45">
        <f t="shared" si="0"/>
        <v>297.21000000000004</v>
      </c>
      <c r="F26" s="59">
        <f>IF($E26&gt;0,IF(Parameter!$B$10="vorschüssig",_XLL.EDATUM(Parameter!$B$9,(A26-1)*12/Parameter!$B$3),_XLL.EDATUM(Parameter!$B$9,A26*12/Parameter!$B$3)),"")</f>
        <v>38105</v>
      </c>
      <c r="H26" s="47"/>
    </row>
    <row r="27" spans="1:8" s="46" customFormat="1" ht="12.75">
      <c r="A27" s="43">
        <v>26</v>
      </c>
      <c r="B27" s="44">
        <f>IF($D26&gt;0,IF($A27&gt;$G$2,$D26*Parameter!$B$8/Parameter!$B$3,$D26*Parameter!$B$2/Parameter!$B$3),0)</f>
        <v>157.7941731262853</v>
      </c>
      <c r="C27" s="44">
        <f>IF($A26&gt;=$G$3,MIN(IF(AND($A27&gt;$G$2,Parameter!$E$9),Parameter!$E$7-Zahlungsplan!$B27,Parameter!$B$5-$B27),$D26),0)</f>
        <v>139.41582687371474</v>
      </c>
      <c r="D27" s="44">
        <f t="shared" si="1"/>
        <v>33080.41009444951</v>
      </c>
      <c r="E27" s="45">
        <f t="shared" si="0"/>
        <v>297.21000000000004</v>
      </c>
      <c r="F27" s="59">
        <f>IF($E27&gt;0,IF(Parameter!$B$10="vorschüssig",_XLL.EDATUM(Parameter!$B$9,(A27-1)*12/Parameter!$B$3),_XLL.EDATUM(Parameter!$B$9,A27*12/Parameter!$B$3)),"")</f>
        <v>38135</v>
      </c>
      <c r="H27" s="47"/>
    </row>
    <row r="28" spans="1:8" s="46" customFormat="1" ht="12.75">
      <c r="A28" s="43">
        <v>27</v>
      </c>
      <c r="B28" s="44">
        <f>IF($D27&gt;0,IF($A28&gt;$G$2,$D27*Parameter!$B$8/Parameter!$B$3,$D27*Parameter!$B$2/Parameter!$B$3),0)</f>
        <v>157.13194794863517</v>
      </c>
      <c r="C28" s="44">
        <f>IF($A27&gt;=$G$3,MIN(IF(AND($A28&gt;$G$2,Parameter!$E$9),Parameter!$E$7-Zahlungsplan!$B28,Parameter!$B$5-$B28),$D27),0)</f>
        <v>140.07805205136486</v>
      </c>
      <c r="D28" s="44">
        <f t="shared" si="1"/>
        <v>32940.33204239814</v>
      </c>
      <c r="E28" s="45">
        <f t="shared" si="0"/>
        <v>297.21000000000004</v>
      </c>
      <c r="F28" s="59">
        <f>IF($E28&gt;0,IF(Parameter!$B$10="vorschüssig",_XLL.EDATUM(Parameter!$B$9,(A28-1)*12/Parameter!$B$3),_XLL.EDATUM(Parameter!$B$9,A28*12/Parameter!$B$3)),"")</f>
        <v>38166</v>
      </c>
      <c r="H28" s="47"/>
    </row>
    <row r="29" spans="1:8" s="46" customFormat="1" ht="12.75">
      <c r="A29" s="43">
        <v>28</v>
      </c>
      <c r="B29" s="44">
        <f>IF($D28&gt;0,IF($A29&gt;$G$2,$D28*Parameter!$B$8/Parameter!$B$3,$D28*Parameter!$B$2/Parameter!$B$3),0)</f>
        <v>156.46657720139117</v>
      </c>
      <c r="C29" s="44">
        <f>IF($A28&gt;=$G$3,MIN(IF(AND($A29&gt;$G$2,Parameter!$E$9),Parameter!$E$7-Zahlungsplan!$B29,Parameter!$B$5-$B29),$D28),0)</f>
        <v>140.74342279860886</v>
      </c>
      <c r="D29" s="44">
        <f t="shared" si="1"/>
        <v>32799.58861959953</v>
      </c>
      <c r="E29" s="45">
        <f t="shared" si="0"/>
        <v>297.21000000000004</v>
      </c>
      <c r="F29" s="59">
        <f>IF($E29&gt;0,IF(Parameter!$B$10="vorschüssig",_XLL.EDATUM(Parameter!$B$9,(A29-1)*12/Parameter!$B$3),_XLL.EDATUM(Parameter!$B$9,A29*12/Parameter!$B$3)),"")</f>
        <v>38196</v>
      </c>
      <c r="H29" s="47"/>
    </row>
    <row r="30" spans="1:8" s="46" customFormat="1" ht="12.75">
      <c r="A30" s="43">
        <v>29</v>
      </c>
      <c r="B30" s="44">
        <f>IF($D29&gt;0,IF($A30&gt;$G$2,$D29*Parameter!$B$8/Parameter!$B$3,$D29*Parameter!$B$2/Parameter!$B$3),0)</f>
        <v>155.79804594309778</v>
      </c>
      <c r="C30" s="44">
        <f>IF($A29&gt;=$G$3,MIN(IF(AND($A30&gt;$G$2,Parameter!$E$9),Parameter!$E$7-Zahlungsplan!$B30,Parameter!$B$5-$B30),$D29),0)</f>
        <v>141.41195405690226</v>
      </c>
      <c r="D30" s="44">
        <f t="shared" si="1"/>
        <v>32658.176665542633</v>
      </c>
      <c r="E30" s="45">
        <f t="shared" si="0"/>
        <v>297.21000000000004</v>
      </c>
      <c r="F30" s="59">
        <f>IF($E30&gt;0,IF(Parameter!$B$10="vorschüssig",_XLL.EDATUM(Parameter!$B$9,(A30-1)*12/Parameter!$B$3),_XLL.EDATUM(Parameter!$B$9,A30*12/Parameter!$B$3)),"")</f>
        <v>38227</v>
      </c>
      <c r="H30" s="47"/>
    </row>
    <row r="31" spans="1:8" s="46" customFormat="1" ht="12.75">
      <c r="A31" s="43">
        <v>30</v>
      </c>
      <c r="B31" s="44">
        <f>IF($D30&gt;0,IF($A31&gt;$G$2,$D30*Parameter!$B$8/Parameter!$B$3,$D30*Parameter!$B$2/Parameter!$B$3),0)</f>
        <v>155.1263391613275</v>
      </c>
      <c r="C31" s="44">
        <f>IF($A30&gt;=$G$3,MIN(IF(AND($A31&gt;$G$2,Parameter!$E$9),Parameter!$E$7-Zahlungsplan!$B31,Parameter!$B$5-$B31),$D30),0)</f>
        <v>142.08366083867253</v>
      </c>
      <c r="D31" s="44">
        <f t="shared" si="1"/>
        <v>32516.093004703962</v>
      </c>
      <c r="E31" s="45">
        <f t="shared" si="0"/>
        <v>297.21000000000004</v>
      </c>
      <c r="F31" s="59">
        <f>IF($E31&gt;0,IF(Parameter!$B$10="vorschüssig",_XLL.EDATUM(Parameter!$B$9,(A31-1)*12/Parameter!$B$3),_XLL.EDATUM(Parameter!$B$9,A31*12/Parameter!$B$3)),"")</f>
        <v>38258</v>
      </c>
      <c r="H31" s="47"/>
    </row>
    <row r="32" spans="1:8" s="46" customFormat="1" ht="12.75">
      <c r="A32" s="43">
        <v>31</v>
      </c>
      <c r="B32" s="44">
        <f>IF($D31&gt;0,IF($A32&gt;$G$2,$D31*Parameter!$B$8/Parameter!$B$3,$D31*Parameter!$B$2/Parameter!$B$3),0)</f>
        <v>154.45144177234383</v>
      </c>
      <c r="C32" s="44">
        <f>IF($A31&gt;=$G$3,MIN(IF(AND($A32&gt;$G$2,Parameter!$E$9),Parameter!$E$7-Zahlungsplan!$B32,Parameter!$B$5-$B32),$D31),0)</f>
        <v>142.7585582276562</v>
      </c>
      <c r="D32" s="44">
        <f t="shared" si="1"/>
        <v>32373.334446476307</v>
      </c>
      <c r="E32" s="45">
        <f t="shared" si="0"/>
        <v>297.21000000000004</v>
      </c>
      <c r="F32" s="59">
        <f>IF($E32&gt;0,IF(Parameter!$B$10="vorschüssig",_XLL.EDATUM(Parameter!$B$9,(A32-1)*12/Parameter!$B$3),_XLL.EDATUM(Parameter!$B$9,A32*12/Parameter!$B$3)),"")</f>
        <v>38288</v>
      </c>
      <c r="H32" s="47"/>
    </row>
    <row r="33" spans="1:8" s="46" customFormat="1" ht="12.75">
      <c r="A33" s="43">
        <v>32</v>
      </c>
      <c r="B33" s="44">
        <f>IF($D32&gt;0,IF($A33&gt;$G$2,$D32*Parameter!$B$8/Parameter!$B$3,$D32*Parameter!$B$2/Parameter!$B$3),0)</f>
        <v>153.77333862076247</v>
      </c>
      <c r="C33" s="44">
        <f>IF($A32&gt;=$G$3,MIN(IF(AND($A33&gt;$G$2,Parameter!$E$9),Parameter!$E$7-Zahlungsplan!$B33,Parameter!$B$5-$B33),$D32),0)</f>
        <v>143.43666137923756</v>
      </c>
      <c r="D33" s="44">
        <f t="shared" si="1"/>
        <v>32229.89778509707</v>
      </c>
      <c r="E33" s="45">
        <f t="shared" si="0"/>
        <v>297.21000000000004</v>
      </c>
      <c r="F33" s="59">
        <f>IF($E33&gt;0,IF(Parameter!$B$10="vorschüssig",_XLL.EDATUM(Parameter!$B$9,(A33-1)*12/Parameter!$B$3),_XLL.EDATUM(Parameter!$B$9,A33*12/Parameter!$B$3)),"")</f>
        <v>38319</v>
      </c>
      <c r="H33" s="47"/>
    </row>
    <row r="34" spans="1:8" s="46" customFormat="1" ht="12.75">
      <c r="A34" s="43">
        <v>33</v>
      </c>
      <c r="B34" s="44">
        <f>IF($D33&gt;0,IF($A34&gt;$G$2,$D33*Parameter!$B$8/Parameter!$B$3,$D33*Parameter!$B$2/Parameter!$B$3),0)</f>
        <v>153.0920144792111</v>
      </c>
      <c r="C34" s="44">
        <f>IF($A33&gt;=$G$3,MIN(IF(AND($A34&gt;$G$2,Parameter!$E$9),Parameter!$E$7-Zahlungsplan!$B34,Parameter!$B$5-$B34),$D33),0)</f>
        <v>144.11798552078895</v>
      </c>
      <c r="D34" s="44">
        <f t="shared" si="1"/>
        <v>32085.77979957628</v>
      </c>
      <c r="E34" s="45">
        <f t="shared" si="0"/>
        <v>297.21000000000004</v>
      </c>
      <c r="F34" s="59">
        <f>IF($E34&gt;0,IF(Parameter!$B$10="vorschüssig",_XLL.EDATUM(Parameter!$B$9,(A34-1)*12/Parameter!$B$3),_XLL.EDATUM(Parameter!$B$9,A34*12/Parameter!$B$3)),"")</f>
        <v>38349</v>
      </c>
      <c r="H34" s="47"/>
    </row>
    <row r="35" spans="1:8" s="46" customFormat="1" ht="12.75">
      <c r="A35" s="43">
        <v>34</v>
      </c>
      <c r="B35" s="44">
        <f>IF($D34&gt;0,IF($A35&gt;$G$2,$D34*Parameter!$B$8/Parameter!$B$3,$D34*Parameter!$B$2/Parameter!$B$3),0)</f>
        <v>152.40745404798733</v>
      </c>
      <c r="C35" s="44">
        <f>IF($A34&gt;=$G$3,MIN(IF(AND($A35&gt;$G$2,Parameter!$E$9),Parameter!$E$7-Zahlungsplan!$B35,Parameter!$B$5-$B35),$D34),0)</f>
        <v>144.8025459520127</v>
      </c>
      <c r="D35" s="44">
        <f t="shared" si="1"/>
        <v>31940.977253624267</v>
      </c>
      <c r="E35" s="45">
        <f t="shared" si="0"/>
        <v>297.21000000000004</v>
      </c>
      <c r="F35" s="59">
        <f>IF($E35&gt;0,IF(Parameter!$B$10="vorschüssig",_XLL.EDATUM(Parameter!$B$9,(A35-1)*12/Parameter!$B$3),_XLL.EDATUM(Parameter!$B$9,A35*12/Parameter!$B$3)),"")</f>
        <v>38380</v>
      </c>
      <c r="H35" s="47"/>
    </row>
    <row r="36" spans="1:8" s="46" customFormat="1" ht="12.75">
      <c r="A36" s="43">
        <v>35</v>
      </c>
      <c r="B36" s="44">
        <f>IF($D35&gt;0,IF($A36&gt;$G$2,$D35*Parameter!$B$8/Parameter!$B$3,$D35*Parameter!$B$2/Parameter!$B$3),0)</f>
        <v>151.71964195471529</v>
      </c>
      <c r="C36" s="44">
        <f>IF($A35&gt;=$G$3,MIN(IF(AND($A36&gt;$G$2,Parameter!$E$9),Parameter!$E$7-Zahlungsplan!$B36,Parameter!$B$5-$B36),$D35),0)</f>
        <v>145.49035804528475</v>
      </c>
      <c r="D36" s="44">
        <f t="shared" si="1"/>
        <v>31795.486895578983</v>
      </c>
      <c r="E36" s="45">
        <f t="shared" si="0"/>
        <v>297.21000000000004</v>
      </c>
      <c r="F36" s="59">
        <f>IF($E36&gt;0,IF(Parameter!$B$10="vorschüssig",_XLL.EDATUM(Parameter!$B$9,(A36-1)*12/Parameter!$B$3),_XLL.EDATUM(Parameter!$B$9,A36*12/Parameter!$B$3)),"")</f>
        <v>38411</v>
      </c>
      <c r="H36" s="47"/>
    </row>
    <row r="37" spans="1:8" s="46" customFormat="1" ht="12.75">
      <c r="A37" s="43">
        <v>36</v>
      </c>
      <c r="B37" s="44">
        <f>IF($D36&gt;0,IF($A37&gt;$G$2,$D36*Parameter!$B$8/Parameter!$B$3,$D36*Parameter!$B$2/Parameter!$B$3),0)</f>
        <v>151.02856275400018</v>
      </c>
      <c r="C37" s="44">
        <f>IF($A36&gt;=$G$3,MIN(IF(AND($A37&gt;$G$2,Parameter!$E$9),Parameter!$E$7-Zahlungsplan!$B37,Parameter!$B$5-$B37),$D36),0)</f>
        <v>146.18143724599986</v>
      </c>
      <c r="D37" s="44">
        <f t="shared" si="1"/>
        <v>31649.305458332983</v>
      </c>
      <c r="E37" s="45">
        <f t="shared" si="0"/>
        <v>297.21000000000004</v>
      </c>
      <c r="F37" s="59">
        <f>IF($E37&gt;0,IF(Parameter!$B$10="vorschüssig",_XLL.EDATUM(Parameter!$B$9,(A37-1)*12/Parameter!$B$3),_XLL.EDATUM(Parameter!$B$9,A37*12/Parameter!$B$3)),"")</f>
        <v>38439</v>
      </c>
      <c r="H37" s="47"/>
    </row>
    <row r="38" spans="1:8" s="46" customFormat="1" ht="12.75">
      <c r="A38" s="43">
        <v>37</v>
      </c>
      <c r="B38" s="44">
        <f>IF($D37&gt;0,IF($A38&gt;$G$2,$D37*Parameter!$B$8/Parameter!$B$3,$D37*Parameter!$B$2/Parameter!$B$3),0)</f>
        <v>150.33420092708167</v>
      </c>
      <c r="C38" s="44">
        <f>IF($A37&gt;=$G$3,MIN(IF(AND($A38&gt;$G$2,Parameter!$E$9),Parameter!$E$7-Zahlungsplan!$B38,Parameter!$B$5-$B38),$D37),0)</f>
        <v>146.87579907291837</v>
      </c>
      <c r="D38" s="44">
        <f t="shared" si="1"/>
        <v>31502.429659260066</v>
      </c>
      <c r="E38" s="45">
        <f t="shared" si="0"/>
        <v>297.21000000000004</v>
      </c>
      <c r="F38" s="59">
        <f>IF($E38&gt;0,IF(Parameter!$B$10="vorschüssig",_XLL.EDATUM(Parameter!$B$9,(A38-1)*12/Parameter!$B$3),_XLL.EDATUM(Parameter!$B$9,A38*12/Parameter!$B$3)),"")</f>
        <v>38470</v>
      </c>
      <c r="H38" s="47"/>
    </row>
    <row r="39" spans="1:8" s="46" customFormat="1" ht="12.75">
      <c r="A39" s="43">
        <v>38</v>
      </c>
      <c r="B39" s="44">
        <f>IF($D38&gt;0,IF($A39&gt;$G$2,$D38*Parameter!$B$8/Parameter!$B$3,$D38*Parameter!$B$2/Parameter!$B$3),0)</f>
        <v>149.63654088148533</v>
      </c>
      <c r="C39" s="44">
        <f>IF($A38&gt;=$G$3,MIN(IF(AND($A39&gt;$G$2,Parameter!$E$9),Parameter!$E$7-Zahlungsplan!$B39,Parameter!$B$5-$B39),$D38),0)</f>
        <v>147.5734591185147</v>
      </c>
      <c r="D39" s="44">
        <f t="shared" si="1"/>
        <v>31354.856200141552</v>
      </c>
      <c r="E39" s="45">
        <f t="shared" si="0"/>
        <v>297.21000000000004</v>
      </c>
      <c r="F39" s="59">
        <f>IF($E39&gt;0,IF(Parameter!$B$10="vorschüssig",_XLL.EDATUM(Parameter!$B$9,(A39-1)*12/Parameter!$B$3),_XLL.EDATUM(Parameter!$B$9,A39*12/Parameter!$B$3)),"")</f>
        <v>38500</v>
      </c>
      <c r="H39" s="47"/>
    </row>
    <row r="40" spans="1:8" s="46" customFormat="1" ht="12.75">
      <c r="A40" s="43">
        <v>39</v>
      </c>
      <c r="B40" s="44">
        <f>IF($D39&gt;0,IF($A40&gt;$G$2,$D39*Parameter!$B$8/Parameter!$B$3,$D39*Parameter!$B$2/Parameter!$B$3),0)</f>
        <v>148.93556695067238</v>
      </c>
      <c r="C40" s="44">
        <f>IF($A39&gt;=$G$3,MIN(IF(AND($A40&gt;$G$2,Parameter!$E$9),Parameter!$E$7-Zahlungsplan!$B40,Parameter!$B$5-$B40),$D39),0)</f>
        <v>148.27443304932765</v>
      </c>
      <c r="D40" s="44">
        <f t="shared" si="1"/>
        <v>31206.581767092226</v>
      </c>
      <c r="E40" s="45">
        <f t="shared" si="0"/>
        <v>297.21000000000004</v>
      </c>
      <c r="F40" s="59">
        <f>IF($E40&gt;0,IF(Parameter!$B$10="vorschüssig",_XLL.EDATUM(Parameter!$B$9,(A40-1)*12/Parameter!$B$3),_XLL.EDATUM(Parameter!$B$9,A40*12/Parameter!$B$3)),"")</f>
        <v>38531</v>
      </c>
      <c r="H40" s="47"/>
    </row>
    <row r="41" spans="1:8" s="46" customFormat="1" ht="12.75">
      <c r="A41" s="43">
        <v>40</v>
      </c>
      <c r="B41" s="44">
        <f>IF($D40&gt;0,IF($A41&gt;$G$2,$D40*Parameter!$B$8/Parameter!$B$3,$D40*Parameter!$B$2/Parameter!$B$3),0)</f>
        <v>148.23126339368807</v>
      </c>
      <c r="C41" s="44">
        <f>IF($A40&gt;=$G$3,MIN(IF(AND($A41&gt;$G$2,Parameter!$E$9),Parameter!$E$7-Zahlungsplan!$B41,Parameter!$B$5-$B41),$D40),0)</f>
        <v>148.97873660631197</v>
      </c>
      <c r="D41" s="44">
        <f t="shared" si="1"/>
        <v>31057.603030485912</v>
      </c>
      <c r="E41" s="45">
        <f t="shared" si="0"/>
        <v>297.21000000000004</v>
      </c>
      <c r="F41" s="59">
        <f>IF($E41&gt;0,IF(Parameter!$B$10="vorschüssig",_XLL.EDATUM(Parameter!$B$9,(A41-1)*12/Parameter!$B$3),_XLL.EDATUM(Parameter!$B$9,A41*12/Parameter!$B$3)),"")</f>
        <v>38561</v>
      </c>
      <c r="H41" s="47"/>
    </row>
    <row r="42" spans="1:8" s="46" customFormat="1" ht="12.75">
      <c r="A42" s="43">
        <v>41</v>
      </c>
      <c r="B42" s="44">
        <f>IF($D41&gt;0,IF($A42&gt;$G$2,$D41*Parameter!$B$8/Parameter!$B$3,$D41*Parameter!$B$2/Parameter!$B$3),0)</f>
        <v>147.5236143948081</v>
      </c>
      <c r="C42" s="44">
        <f>IF($A41&gt;=$G$3,MIN(IF(AND($A42&gt;$G$2,Parameter!$E$9),Parameter!$E$7-Zahlungsplan!$B42,Parameter!$B$5-$B42),$D41),0)</f>
        <v>149.68638560519193</v>
      </c>
      <c r="D42" s="44">
        <f t="shared" si="1"/>
        <v>30907.91664488072</v>
      </c>
      <c r="E42" s="45">
        <f t="shared" si="0"/>
        <v>297.21000000000004</v>
      </c>
      <c r="F42" s="59">
        <f>IF($E42&gt;0,IF(Parameter!$B$10="vorschüssig",_XLL.EDATUM(Parameter!$B$9,(A42-1)*12/Parameter!$B$3),_XLL.EDATUM(Parameter!$B$9,A42*12/Parameter!$B$3)),"")</f>
        <v>38592</v>
      </c>
      <c r="H42" s="47"/>
    </row>
    <row r="43" spans="1:8" s="46" customFormat="1" ht="12.75">
      <c r="A43" s="43">
        <v>42</v>
      </c>
      <c r="B43" s="44">
        <f>IF($D42&gt;0,IF($A43&gt;$G$2,$D42*Parameter!$B$8/Parameter!$B$3,$D42*Parameter!$B$2/Parameter!$B$3),0)</f>
        <v>146.81260406318341</v>
      </c>
      <c r="C43" s="44">
        <f>IF($A42&gt;=$G$3,MIN(IF(AND($A43&gt;$G$2,Parameter!$E$9),Parameter!$E$7-Zahlungsplan!$B43,Parameter!$B$5-$B43),$D42),0)</f>
        <v>150.39739593681662</v>
      </c>
      <c r="D43" s="44">
        <f t="shared" si="1"/>
        <v>30757.519248943903</v>
      </c>
      <c r="E43" s="45">
        <f t="shared" si="0"/>
        <v>297.21000000000004</v>
      </c>
      <c r="F43" s="59">
        <f>IF($E43&gt;0,IF(Parameter!$B$10="vorschüssig",_XLL.EDATUM(Parameter!$B$9,(A43-1)*12/Parameter!$B$3),_XLL.EDATUM(Parameter!$B$9,A43*12/Parameter!$B$3)),"")</f>
        <v>38623</v>
      </c>
      <c r="H43" s="47"/>
    </row>
    <row r="44" spans="1:8" s="46" customFormat="1" ht="12.75">
      <c r="A44" s="43">
        <v>43</v>
      </c>
      <c r="B44" s="44">
        <f>IF($D43&gt;0,IF($A44&gt;$G$2,$D43*Parameter!$B$8/Parameter!$B$3,$D43*Parameter!$B$2/Parameter!$B$3),0)</f>
        <v>146.09821643248355</v>
      </c>
      <c r="C44" s="44">
        <f>IF($A43&gt;=$G$3,MIN(IF(AND($A44&gt;$G$2,Parameter!$E$9),Parameter!$E$7-Zahlungsplan!$B44,Parameter!$B$5-$B44),$D43),0)</f>
        <v>151.11178356751648</v>
      </c>
      <c r="D44" s="44">
        <f t="shared" si="1"/>
        <v>30606.407465376386</v>
      </c>
      <c r="E44" s="45">
        <f t="shared" si="0"/>
        <v>297.21000000000004</v>
      </c>
      <c r="F44" s="59">
        <f>IF($E44&gt;0,IF(Parameter!$B$10="vorschüssig",_XLL.EDATUM(Parameter!$B$9,(A44-1)*12/Parameter!$B$3),_XLL.EDATUM(Parameter!$B$9,A44*12/Parameter!$B$3)),"")</f>
        <v>38653</v>
      </c>
      <c r="H44" s="47"/>
    </row>
    <row r="45" spans="1:8" s="46" customFormat="1" ht="12.75">
      <c r="A45" s="43">
        <v>44</v>
      </c>
      <c r="B45" s="44">
        <f>IF($D44&gt;0,IF($A45&gt;$G$2,$D44*Parameter!$B$8/Parameter!$B$3,$D44*Parameter!$B$2/Parameter!$B$3),0)</f>
        <v>145.38043546053783</v>
      </c>
      <c r="C45" s="44">
        <f>IF($A44&gt;=$G$3,MIN(IF(AND($A45&gt;$G$2,Parameter!$E$9),Parameter!$E$7-Zahlungsplan!$B45,Parameter!$B$5-$B45),$D44),0)</f>
        <v>151.8295645394622</v>
      </c>
      <c r="D45" s="44">
        <f t="shared" si="1"/>
        <v>30454.577900836925</v>
      </c>
      <c r="E45" s="45">
        <f t="shared" si="0"/>
        <v>297.21000000000004</v>
      </c>
      <c r="F45" s="59">
        <f>IF($E45&gt;0,IF(Parameter!$B$10="vorschüssig",_XLL.EDATUM(Parameter!$B$9,(A45-1)*12/Parameter!$B$3),_XLL.EDATUM(Parameter!$B$9,A45*12/Parameter!$B$3)),"")</f>
        <v>38684</v>
      </c>
      <c r="H45" s="47"/>
    </row>
    <row r="46" spans="1:8" s="46" customFormat="1" ht="12.75">
      <c r="A46" s="43">
        <v>45</v>
      </c>
      <c r="B46" s="44">
        <f>IF($D45&gt;0,IF($A46&gt;$G$2,$D45*Parameter!$B$8/Parameter!$B$3,$D45*Parameter!$B$2/Parameter!$B$3),0)</f>
        <v>144.6592450289754</v>
      </c>
      <c r="C46" s="44">
        <f>IF($A45&gt;=$G$3,MIN(IF(AND($A46&gt;$G$2,Parameter!$E$9),Parameter!$E$7-Zahlungsplan!$B46,Parameter!$B$5-$B46),$D45),0)</f>
        <v>152.55075497102465</v>
      </c>
      <c r="D46" s="44">
        <f t="shared" si="1"/>
        <v>30302.0271458659</v>
      </c>
      <c r="E46" s="45">
        <f t="shared" si="0"/>
        <v>297.21000000000004</v>
      </c>
      <c r="F46" s="59">
        <f>IF($E46&gt;0,IF(Parameter!$B$10="vorschüssig",_XLL.EDATUM(Parameter!$B$9,(A46-1)*12/Parameter!$B$3),_XLL.EDATUM(Parameter!$B$9,A46*12/Parameter!$B$3)),"")</f>
        <v>38714</v>
      </c>
      <c r="H46" s="47"/>
    </row>
    <row r="47" spans="1:8" s="46" customFormat="1" ht="12.75">
      <c r="A47" s="43">
        <v>46</v>
      </c>
      <c r="B47" s="44">
        <f>IF($D46&gt;0,IF($A47&gt;$G$2,$D46*Parameter!$B$8/Parameter!$B$3,$D46*Parameter!$B$2/Parameter!$B$3),0)</f>
        <v>143.93462894286304</v>
      </c>
      <c r="C47" s="44">
        <f>IF($A46&gt;=$G$3,MIN(IF(AND($A47&gt;$G$2,Parameter!$E$9),Parameter!$E$7-Zahlungsplan!$B47,Parameter!$B$5-$B47),$D46),0)</f>
        <v>153.275371057137</v>
      </c>
      <c r="D47" s="44">
        <f t="shared" si="1"/>
        <v>30148.751774808763</v>
      </c>
      <c r="E47" s="45">
        <f t="shared" si="0"/>
        <v>297.21000000000004</v>
      </c>
      <c r="F47" s="59">
        <f>IF($E47&gt;0,IF(Parameter!$B$10="vorschüssig",_XLL.EDATUM(Parameter!$B$9,(A47-1)*12/Parameter!$B$3),_XLL.EDATUM(Parameter!$B$9,A47*12/Parameter!$B$3)),"")</f>
        <v>38745</v>
      </c>
      <c r="H47" s="47"/>
    </row>
    <row r="48" spans="1:8" s="46" customFormat="1" ht="12.75">
      <c r="A48" s="43">
        <v>47</v>
      </c>
      <c r="B48" s="44">
        <f>IF($D47&gt;0,IF($A48&gt;$G$2,$D47*Parameter!$B$8/Parameter!$B$3,$D47*Parameter!$B$2/Parameter!$B$3),0)</f>
        <v>143.20657093034163</v>
      </c>
      <c r="C48" s="44">
        <f>IF($A47&gt;=$G$3,MIN(IF(AND($A48&gt;$G$2,Parameter!$E$9),Parameter!$E$7-Zahlungsplan!$B48,Parameter!$B$5-$B48),$D47),0)</f>
        <v>154.0034290696584</v>
      </c>
      <c r="D48" s="44">
        <f t="shared" si="1"/>
        <v>29994.748345739106</v>
      </c>
      <c r="E48" s="45">
        <f t="shared" si="0"/>
        <v>297.21000000000004</v>
      </c>
      <c r="F48" s="59">
        <f>IF($E48&gt;0,IF(Parameter!$B$10="vorschüssig",_XLL.EDATUM(Parameter!$B$9,(A48-1)*12/Parameter!$B$3),_XLL.EDATUM(Parameter!$B$9,A48*12/Parameter!$B$3)),"")</f>
        <v>38776</v>
      </c>
      <c r="H48" s="47"/>
    </row>
    <row r="49" spans="1:8" s="46" customFormat="1" ht="12.75">
      <c r="A49" s="43">
        <v>48</v>
      </c>
      <c r="B49" s="44">
        <f>IF($D48&gt;0,IF($A49&gt;$G$2,$D48*Parameter!$B$8/Parameter!$B$3,$D48*Parameter!$B$2/Parameter!$B$3),0)</f>
        <v>142.47505464226074</v>
      </c>
      <c r="C49" s="44">
        <f>IF($A48&gt;=$G$3,MIN(IF(AND($A49&gt;$G$2,Parameter!$E$9),Parameter!$E$7-Zahlungsplan!$B49,Parameter!$B$5-$B49),$D48),0)</f>
        <v>154.7349453577393</v>
      </c>
      <c r="D49" s="44">
        <f t="shared" si="1"/>
        <v>29840.013400381365</v>
      </c>
      <c r="E49" s="45">
        <f t="shared" si="0"/>
        <v>297.21000000000004</v>
      </c>
      <c r="F49" s="59">
        <f>IF($E49&gt;0,IF(Parameter!$B$10="vorschüssig",_XLL.EDATUM(Parameter!$B$9,(A49-1)*12/Parameter!$B$3),_XLL.EDATUM(Parameter!$B$9,A49*12/Parameter!$B$3)),"")</f>
        <v>38804</v>
      </c>
      <c r="H49" s="47"/>
    </row>
    <row r="50" spans="1:8" s="46" customFormat="1" ht="12.75">
      <c r="A50" s="43">
        <v>49</v>
      </c>
      <c r="B50" s="44">
        <f>IF($D49&gt;0,IF($A50&gt;$G$2,$D49*Parameter!$B$8/Parameter!$B$3,$D49*Parameter!$B$2/Parameter!$B$3),0)</f>
        <v>141.74006365181148</v>
      </c>
      <c r="C50" s="44">
        <f>IF($A49&gt;=$G$3,MIN(IF(AND($A50&gt;$G$2,Parameter!$E$9),Parameter!$E$7-Zahlungsplan!$B50,Parameter!$B$5-$B50),$D49),0)</f>
        <v>155.46993634818855</v>
      </c>
      <c r="D50" s="44">
        <f t="shared" si="1"/>
        <v>29684.543464033177</v>
      </c>
      <c r="E50" s="45">
        <f t="shared" si="0"/>
        <v>297.21000000000004</v>
      </c>
      <c r="F50" s="59">
        <f>IF($E50&gt;0,IF(Parameter!$B$10="vorschüssig",_XLL.EDATUM(Parameter!$B$9,(A50-1)*12/Parameter!$B$3),_XLL.EDATUM(Parameter!$B$9,A50*12/Parameter!$B$3)),"")</f>
        <v>38835</v>
      </c>
      <c r="H50" s="47"/>
    </row>
    <row r="51" spans="1:8" s="46" customFormat="1" ht="12.75">
      <c r="A51" s="43">
        <v>50</v>
      </c>
      <c r="B51" s="44">
        <f>IF($D50&gt;0,IF($A51&gt;$G$2,$D50*Parameter!$B$8/Parameter!$B$3,$D50*Parameter!$B$2/Parameter!$B$3),0)</f>
        <v>141.0015814541576</v>
      </c>
      <c r="C51" s="44">
        <f>IF($A50&gt;=$G$3,MIN(IF(AND($A51&gt;$G$2,Parameter!$E$9),Parameter!$E$7-Zahlungsplan!$B51,Parameter!$B$5-$B51),$D50),0)</f>
        <v>156.20841854584245</v>
      </c>
      <c r="D51" s="44">
        <f t="shared" si="1"/>
        <v>29528.335045487336</v>
      </c>
      <c r="E51" s="45">
        <f t="shared" si="0"/>
        <v>297.21000000000004</v>
      </c>
      <c r="F51" s="59">
        <f>IF($E51&gt;0,IF(Parameter!$B$10="vorschüssig",_XLL.EDATUM(Parameter!$B$9,(A51-1)*12/Parameter!$B$3),_XLL.EDATUM(Parameter!$B$9,A51*12/Parameter!$B$3)),"")</f>
        <v>38865</v>
      </c>
      <c r="H51" s="47"/>
    </row>
    <row r="52" spans="1:8" s="46" customFormat="1" ht="12.75">
      <c r="A52" s="43">
        <v>51</v>
      </c>
      <c r="B52" s="44">
        <f>IF($D51&gt;0,IF($A52&gt;$G$2,$D51*Parameter!$B$8/Parameter!$B$3,$D51*Parameter!$B$2/Parameter!$B$3),0)</f>
        <v>140.25959146606485</v>
      </c>
      <c r="C52" s="44">
        <f>IF($A51&gt;=$G$3,MIN(IF(AND($A52&gt;$G$2,Parameter!$E$9),Parameter!$E$7-Zahlungsplan!$B52,Parameter!$B$5-$B52),$D51),0)</f>
        <v>156.9504085339352</v>
      </c>
      <c r="D52" s="44">
        <f t="shared" si="1"/>
        <v>29371.3846369534</v>
      </c>
      <c r="E52" s="45">
        <f t="shared" si="0"/>
        <v>297.21000000000004</v>
      </c>
      <c r="F52" s="59">
        <f>IF($E52&gt;0,IF(Parameter!$B$10="vorschüssig",_XLL.EDATUM(Parameter!$B$9,(A52-1)*12/Parameter!$B$3),_XLL.EDATUM(Parameter!$B$9,A52*12/Parameter!$B$3)),"")</f>
        <v>38896</v>
      </c>
      <c r="H52" s="47"/>
    </row>
    <row r="53" spans="1:8" s="46" customFormat="1" ht="12.75">
      <c r="A53" s="43">
        <v>52</v>
      </c>
      <c r="B53" s="44">
        <f>IF($D52&gt;0,IF($A53&gt;$G$2,$D52*Parameter!$B$8/Parameter!$B$3,$D52*Parameter!$B$2/Parameter!$B$3),0)</f>
        <v>139.51407702552865</v>
      </c>
      <c r="C53" s="44">
        <f>IF($A52&gt;=$G$3,MIN(IF(AND($A53&gt;$G$2,Parameter!$E$9),Parameter!$E$7-Zahlungsplan!$B53,Parameter!$B$5-$B53),$D52),0)</f>
        <v>157.6959229744714</v>
      </c>
      <c r="D53" s="44">
        <f t="shared" si="1"/>
        <v>29213.68871397893</v>
      </c>
      <c r="E53" s="45">
        <f t="shared" si="0"/>
        <v>297.21000000000004</v>
      </c>
      <c r="F53" s="59">
        <f>IF($E53&gt;0,IF(Parameter!$B$10="vorschüssig",_XLL.EDATUM(Parameter!$B$9,(A53-1)*12/Parameter!$B$3),_XLL.EDATUM(Parameter!$B$9,A53*12/Parameter!$B$3)),"")</f>
        <v>38926</v>
      </c>
      <c r="H53" s="47"/>
    </row>
    <row r="54" spans="1:8" s="46" customFormat="1" ht="12.75">
      <c r="A54" s="43">
        <v>53</v>
      </c>
      <c r="B54" s="44">
        <f>IF($D53&gt;0,IF($A54&gt;$G$2,$D53*Parameter!$B$8/Parameter!$B$3,$D53*Parameter!$B$2/Parameter!$B$3),0)</f>
        <v>138.76502139139993</v>
      </c>
      <c r="C54" s="44">
        <f>IF($A53&gt;=$G$3,MIN(IF(AND($A54&gt;$G$2,Parameter!$E$9),Parameter!$E$7-Zahlungsplan!$B54,Parameter!$B$5-$B54),$D53),0)</f>
        <v>158.4449786086001</v>
      </c>
      <c r="D54" s="44">
        <f t="shared" si="1"/>
        <v>29055.243735370328</v>
      </c>
      <c r="E54" s="45">
        <f t="shared" si="0"/>
        <v>297.21000000000004</v>
      </c>
      <c r="F54" s="59">
        <f>IF($E54&gt;0,IF(Parameter!$B$10="vorschüssig",_XLL.EDATUM(Parameter!$B$9,(A54-1)*12/Parameter!$B$3),_XLL.EDATUM(Parameter!$B$9,A54*12/Parameter!$B$3)),"")</f>
        <v>38957</v>
      </c>
      <c r="H54" s="47"/>
    </row>
    <row r="55" spans="1:8" s="46" customFormat="1" ht="12.75">
      <c r="A55" s="43">
        <v>54</v>
      </c>
      <c r="B55" s="44">
        <f>IF($D54&gt;0,IF($A55&gt;$G$2,$D54*Parameter!$B$8/Parameter!$B$3,$D54*Parameter!$B$2/Parameter!$B$3),0)</f>
        <v>138.01240774300905</v>
      </c>
      <c r="C55" s="44">
        <f>IF($A54&gt;=$G$3,MIN(IF(AND($A55&gt;$G$2,Parameter!$E$9),Parameter!$E$7-Zahlungsplan!$B55,Parameter!$B$5-$B55),$D54),0)</f>
        <v>159.197592256991</v>
      </c>
      <c r="D55" s="44">
        <f t="shared" si="1"/>
        <v>28896.046143113337</v>
      </c>
      <c r="E55" s="45">
        <f t="shared" si="0"/>
        <v>297.21000000000004</v>
      </c>
      <c r="F55" s="59">
        <f>IF($E55&gt;0,IF(Parameter!$B$10="vorschüssig",_XLL.EDATUM(Parameter!$B$9,(A55-1)*12/Parameter!$B$3),_XLL.EDATUM(Parameter!$B$9,A55*12/Parameter!$B$3)),"")</f>
        <v>38988</v>
      </c>
      <c r="H55" s="47"/>
    </row>
    <row r="56" spans="1:8" s="46" customFormat="1" ht="12.75">
      <c r="A56" s="43">
        <v>55</v>
      </c>
      <c r="B56" s="44">
        <f>IF($D55&gt;0,IF($A56&gt;$G$2,$D55*Parameter!$B$8/Parameter!$B$3,$D55*Parameter!$B$2/Parameter!$B$3),0)</f>
        <v>137.25621917978836</v>
      </c>
      <c r="C56" s="44">
        <f>IF($A55&gt;=$G$3,MIN(IF(AND($A56&gt;$G$2,Parameter!$E$9),Parameter!$E$7-Zahlungsplan!$B56,Parameter!$B$5-$B56),$D55),0)</f>
        <v>159.95378082021168</v>
      </c>
      <c r="D56" s="44">
        <f t="shared" si="1"/>
        <v>28736.092362293126</v>
      </c>
      <c r="E56" s="45">
        <f t="shared" si="0"/>
        <v>297.21000000000004</v>
      </c>
      <c r="F56" s="59">
        <f>IF($E56&gt;0,IF(Parameter!$B$10="vorschüssig",_XLL.EDATUM(Parameter!$B$9,(A56-1)*12/Parameter!$B$3),_XLL.EDATUM(Parameter!$B$9,A56*12/Parameter!$B$3)),"")</f>
        <v>39018</v>
      </c>
      <c r="H56" s="47"/>
    </row>
    <row r="57" spans="1:8" s="46" customFormat="1" ht="12.75">
      <c r="A57" s="43">
        <v>56</v>
      </c>
      <c r="B57" s="44">
        <f>IF($D56&gt;0,IF($A57&gt;$G$2,$D56*Parameter!$B$8/Parameter!$B$3,$D56*Parameter!$B$2/Parameter!$B$3),0)</f>
        <v>136.49643872089237</v>
      </c>
      <c r="C57" s="44">
        <f>IF($A56&gt;=$G$3,MIN(IF(AND($A57&gt;$G$2,Parameter!$E$9),Parameter!$E$7-Zahlungsplan!$B57,Parameter!$B$5-$B57),$D56),0)</f>
        <v>160.71356127910767</v>
      </c>
      <c r="D57" s="44">
        <f t="shared" si="1"/>
        <v>28575.37880101402</v>
      </c>
      <c r="E57" s="45">
        <f t="shared" si="0"/>
        <v>297.21000000000004</v>
      </c>
      <c r="F57" s="59">
        <f>IF($E57&gt;0,IF(Parameter!$B$10="vorschüssig",_XLL.EDATUM(Parameter!$B$9,(A57-1)*12/Parameter!$B$3),_XLL.EDATUM(Parameter!$B$9,A57*12/Parameter!$B$3)),"")</f>
        <v>39049</v>
      </c>
      <c r="H57" s="47"/>
    </row>
    <row r="58" spans="1:8" s="46" customFormat="1" ht="12.75">
      <c r="A58" s="43">
        <v>57</v>
      </c>
      <c r="B58" s="44">
        <f>IF($D57&gt;0,IF($A58&gt;$G$2,$D57*Parameter!$B$8/Parameter!$B$3,$D57*Parameter!$B$2/Parameter!$B$3),0)</f>
        <v>135.7330493048166</v>
      </c>
      <c r="C58" s="44">
        <f>IF($A57&gt;=$G$3,MIN(IF(AND($A58&gt;$G$2,Parameter!$E$9),Parameter!$E$7-Zahlungsplan!$B58,Parameter!$B$5-$B58),$D57),0)</f>
        <v>161.47695069518343</v>
      </c>
      <c r="D58" s="44">
        <f t="shared" si="1"/>
        <v>28413.901850318834</v>
      </c>
      <c r="E58" s="45">
        <f t="shared" si="0"/>
        <v>297.21000000000004</v>
      </c>
      <c r="F58" s="59">
        <f>IF($E58&gt;0,IF(Parameter!$B$10="vorschüssig",_XLL.EDATUM(Parameter!$B$9,(A58-1)*12/Parameter!$B$3),_XLL.EDATUM(Parameter!$B$9,A58*12/Parameter!$B$3)),"")</f>
        <v>39079</v>
      </c>
      <c r="H58" s="47"/>
    </row>
    <row r="59" spans="1:8" s="46" customFormat="1" ht="12.75">
      <c r="A59" s="43">
        <v>58</v>
      </c>
      <c r="B59" s="44">
        <f>IF($D58&gt;0,IF($A59&gt;$G$2,$D58*Parameter!$B$8/Parameter!$B$3,$D58*Parameter!$B$2/Parameter!$B$3),0)</f>
        <v>134.96603378901446</v>
      </c>
      <c r="C59" s="44">
        <f>IF($A58&gt;=$G$3,MIN(IF(AND($A59&gt;$G$2,Parameter!$E$9),Parameter!$E$7-Zahlungsplan!$B59,Parameter!$B$5-$B59),$D58),0)</f>
        <v>162.24396621098558</v>
      </c>
      <c r="D59" s="44">
        <f t="shared" si="1"/>
        <v>28251.657884107848</v>
      </c>
      <c r="E59" s="45">
        <f t="shared" si="0"/>
        <v>297.21000000000004</v>
      </c>
      <c r="F59" s="59">
        <f>IF($E59&gt;0,IF(Parameter!$B$10="vorschüssig",_XLL.EDATUM(Parameter!$B$9,(A59-1)*12/Parameter!$B$3),_XLL.EDATUM(Parameter!$B$9,A59*12/Parameter!$B$3)),"")</f>
        <v>39110</v>
      </c>
      <c r="H59" s="47"/>
    </row>
    <row r="60" spans="1:8" s="46" customFormat="1" ht="12.75">
      <c r="A60" s="43">
        <v>59</v>
      </c>
      <c r="B60" s="44">
        <f>IF($D59&gt;0,IF($A60&gt;$G$2,$D59*Parameter!$B$8/Parameter!$B$3,$D59*Parameter!$B$2/Parameter!$B$3),0)</f>
        <v>134.19537494951228</v>
      </c>
      <c r="C60" s="44">
        <f>IF($A59&gt;=$G$3,MIN(IF(AND($A60&gt;$G$2,Parameter!$E$9),Parameter!$E$7-Zahlungsplan!$B60,Parameter!$B$5-$B60),$D59),0)</f>
        <v>163.01462505048775</v>
      </c>
      <c r="D60" s="44">
        <f t="shared" si="1"/>
        <v>28088.64325905736</v>
      </c>
      <c r="E60" s="45">
        <f t="shared" si="0"/>
        <v>297.21000000000004</v>
      </c>
      <c r="F60" s="59">
        <f>IF($E60&gt;0,IF(Parameter!$B$10="vorschüssig",_XLL.EDATUM(Parameter!$B$9,(A60-1)*12/Parameter!$B$3),_XLL.EDATUM(Parameter!$B$9,A60*12/Parameter!$B$3)),"")</f>
        <v>39141</v>
      </c>
      <c r="H60" s="47"/>
    </row>
    <row r="61" spans="1:8" s="46" customFormat="1" ht="12.75">
      <c r="A61" s="43">
        <v>60</v>
      </c>
      <c r="B61" s="44">
        <f>IF($D60&gt;0,IF($A61&gt;$G$2,$D60*Parameter!$B$8/Parameter!$B$3,$D60*Parameter!$B$2/Parameter!$B$3),0)</f>
        <v>133.42105548052248</v>
      </c>
      <c r="C61" s="44">
        <f>IF($A60&gt;=$G$3,MIN(IF(AND($A61&gt;$G$2,Parameter!$E$9),Parameter!$E$7-Zahlungsplan!$B61,Parameter!$B$5-$B61),$D60),0)</f>
        <v>163.78894451947755</v>
      </c>
      <c r="D61" s="44">
        <f t="shared" si="1"/>
        <v>27924.854314537883</v>
      </c>
      <c r="E61" s="45">
        <f t="shared" si="0"/>
        <v>297.21000000000004</v>
      </c>
      <c r="F61" s="59">
        <f>IF($E61&gt;0,IF(Parameter!$B$10="vorschüssig",_XLL.EDATUM(Parameter!$B$9,(A61-1)*12/Parameter!$B$3),_XLL.EDATUM(Parameter!$B$9,A61*12/Parameter!$B$3)),"")</f>
        <v>39169</v>
      </c>
      <c r="H61" s="47"/>
    </row>
    <row r="62" spans="1:8" s="51" customFormat="1" ht="12.75">
      <c r="A62" s="48">
        <v>61</v>
      </c>
      <c r="B62" s="49">
        <f>IF($D61&gt;0,IF($A62&gt;$G$2,$D61*Parameter!$B$8/Parameter!$B$3,$D61*Parameter!$B$2/Parameter!$B$3),0)</f>
        <v>132.64305799405494</v>
      </c>
      <c r="C62" s="49">
        <f>IF($A61&gt;=$G$3,MIN(IF(AND($A62&gt;$G$2,Parameter!$E$9),Parameter!$E$7-Zahlungsplan!$B62,Parameter!$B$5-$B62),$D61),0)</f>
        <v>164.5669420059451</v>
      </c>
      <c r="D62" s="49">
        <f t="shared" si="1"/>
        <v>27760.287372531937</v>
      </c>
      <c r="E62" s="50">
        <f t="shared" si="0"/>
        <v>297.21000000000004</v>
      </c>
      <c r="F62" s="60">
        <f>IF($E62&gt;0,IF(Parameter!$B$10="vorschüssig",_XLL.EDATUM(Parameter!$B$9,(A62-1)*12/Parameter!$B$3),_XLL.EDATUM(Parameter!$B$9,A62*12/Parameter!$B$3)),"")</f>
        <v>39200</v>
      </c>
      <c r="H62" s="52"/>
    </row>
    <row r="63" spans="1:8" s="51" customFormat="1" ht="12.75">
      <c r="A63" s="48">
        <v>62</v>
      </c>
      <c r="B63" s="49">
        <f>IF($D62&gt;0,IF($A63&gt;$G$2,$D62*Parameter!$B$8/Parameter!$B$3,$D62*Parameter!$B$2/Parameter!$B$3),0)</f>
        <v>131.8613650195267</v>
      </c>
      <c r="C63" s="49">
        <f>IF($A62&gt;=$G$3,MIN(IF(AND($A63&gt;$G$2,Parameter!$E$9),Parameter!$E$7-Zahlungsplan!$B63,Parameter!$B$5-$B63),$D62),0)</f>
        <v>165.34863498047335</v>
      </c>
      <c r="D63" s="49">
        <f t="shared" si="1"/>
        <v>27594.938737551463</v>
      </c>
      <c r="E63" s="50">
        <f t="shared" si="0"/>
        <v>297.21000000000004</v>
      </c>
      <c r="F63" s="60">
        <f>IF($E63&gt;0,IF(Parameter!$B$10="vorschüssig",_XLL.EDATUM(Parameter!$B$9,(A63-1)*12/Parameter!$B$3),_XLL.EDATUM(Parameter!$B$9,A63*12/Parameter!$B$3)),"")</f>
        <v>39230</v>
      </c>
      <c r="H63" s="52"/>
    </row>
    <row r="64" spans="1:8" s="51" customFormat="1" ht="12.75">
      <c r="A64" s="48">
        <v>63</v>
      </c>
      <c r="B64" s="49">
        <f>IF($D63&gt;0,IF($A64&gt;$G$2,$D63*Parameter!$B$8/Parameter!$B$3,$D63*Parameter!$B$2/Parameter!$B$3),0)</f>
        <v>131.07595900336946</v>
      </c>
      <c r="C64" s="49">
        <f>IF($A63&gt;=$G$3,MIN(IF(AND($A64&gt;$G$2,Parameter!$E$9),Parameter!$E$7-Zahlungsplan!$B64,Parameter!$B$5-$B64),$D63),0)</f>
        <v>166.13404099663057</v>
      </c>
      <c r="D64" s="49">
        <f t="shared" si="1"/>
        <v>27428.804696554835</v>
      </c>
      <c r="E64" s="50">
        <f t="shared" si="0"/>
        <v>297.21000000000004</v>
      </c>
      <c r="F64" s="60">
        <f>IF($E64&gt;0,IF(Parameter!$B$10="vorschüssig",_XLL.EDATUM(Parameter!$B$9,(A64-1)*12/Parameter!$B$3),_XLL.EDATUM(Parameter!$B$9,A64*12/Parameter!$B$3)),"")</f>
        <v>39261</v>
      </c>
      <c r="H64" s="52"/>
    </row>
    <row r="65" spans="1:8" s="51" customFormat="1" ht="12.75">
      <c r="A65" s="48">
        <v>64</v>
      </c>
      <c r="B65" s="49">
        <f>IF($D64&gt;0,IF($A65&gt;$G$2,$D64*Parameter!$B$8/Parameter!$B$3,$D64*Parameter!$B$2/Parameter!$B$3),0)</f>
        <v>130.28682230863546</v>
      </c>
      <c r="C65" s="49">
        <f>IF($A64&gt;=$G$3,MIN(IF(AND($A65&gt;$G$2,Parameter!$E$9),Parameter!$E$7-Zahlungsplan!$B65,Parameter!$B$5-$B65),$D64),0)</f>
        <v>166.92317769136457</v>
      </c>
      <c r="D65" s="49">
        <f t="shared" si="1"/>
        <v>27261.88151886347</v>
      </c>
      <c r="E65" s="50">
        <f t="shared" si="0"/>
        <v>297.21000000000004</v>
      </c>
      <c r="F65" s="60">
        <f>IF($E65&gt;0,IF(Parameter!$B$10="vorschüssig",_XLL.EDATUM(Parameter!$B$9,(A65-1)*12/Parameter!$B$3),_XLL.EDATUM(Parameter!$B$9,A65*12/Parameter!$B$3)),"")</f>
        <v>39291</v>
      </c>
      <c r="H65" s="52"/>
    </row>
    <row r="66" spans="1:8" s="51" customFormat="1" ht="12.75">
      <c r="A66" s="48">
        <v>65</v>
      </c>
      <c r="B66" s="49">
        <f>IF($D65&gt;0,IF($A66&gt;$G$2,$D65*Parameter!$B$8/Parameter!$B$3,$D65*Parameter!$B$2/Parameter!$B$3),0)</f>
        <v>129.4939372146015</v>
      </c>
      <c r="C66" s="49">
        <f>IF($A65&gt;=$G$3,MIN(IF(AND($A66&gt;$G$2,Parameter!$E$9),Parameter!$E$7-Zahlungsplan!$B66,Parameter!$B$5-$B66),$D65),0)</f>
        <v>167.71606278539855</v>
      </c>
      <c r="D66" s="49">
        <f t="shared" si="1"/>
        <v>27094.16545607807</v>
      </c>
      <c r="E66" s="50">
        <f t="shared" si="0"/>
        <v>297.21000000000004</v>
      </c>
      <c r="F66" s="60">
        <f>IF($E66&gt;0,IF(Parameter!$B$10="vorschüssig",_XLL.EDATUM(Parameter!$B$9,(A66-1)*12/Parameter!$B$3),_XLL.EDATUM(Parameter!$B$9,A66*12/Parameter!$B$3)),"")</f>
        <v>39322</v>
      </c>
      <c r="H66" s="52"/>
    </row>
    <row r="67" spans="1:8" s="51" customFormat="1" ht="12.75">
      <c r="A67" s="48">
        <v>66</v>
      </c>
      <c r="B67" s="49">
        <f>IF($D66&gt;0,IF($A67&gt;$G$2,$D66*Parameter!$B$8/Parameter!$B$3,$D66*Parameter!$B$2/Parameter!$B$3),0)</f>
        <v>128.69728591637084</v>
      </c>
      <c r="C67" s="49">
        <f>IF($A66&gt;=$G$3,MIN(IF(AND($A67&gt;$G$2,Parameter!$E$9),Parameter!$E$7-Zahlungsplan!$B67,Parameter!$B$5-$B67),$D66),0)</f>
        <v>168.5127140836292</v>
      </c>
      <c r="D67" s="49">
        <f t="shared" si="1"/>
        <v>26925.65274199444</v>
      </c>
      <c r="E67" s="50">
        <f aca="true" t="shared" si="2" ref="E67:E130">$B67+$C67</f>
        <v>297.21000000000004</v>
      </c>
      <c r="F67" s="60">
        <f>IF($E67&gt;0,IF(Parameter!$B$10="vorschüssig",_XLL.EDATUM(Parameter!$B$9,(A67-1)*12/Parameter!$B$3),_XLL.EDATUM(Parameter!$B$9,A67*12/Parameter!$B$3)),"")</f>
        <v>39353</v>
      </c>
      <c r="H67" s="52"/>
    </row>
    <row r="68" spans="1:8" s="51" customFormat="1" ht="12.75">
      <c r="A68" s="48">
        <v>67</v>
      </c>
      <c r="B68" s="49">
        <f>IF($D67&gt;0,IF($A68&gt;$G$2,$D67*Parameter!$B$8/Parameter!$B$3,$D67*Parameter!$B$2/Parameter!$B$3),0)</f>
        <v>127.8968505244736</v>
      </c>
      <c r="C68" s="49">
        <f>IF($A67&gt;=$G$3,MIN(IF(AND($A68&gt;$G$2,Parameter!$E$9),Parameter!$E$7-Zahlungsplan!$B68,Parameter!$B$5-$B68),$D67),0)</f>
        <v>169.31314947552642</v>
      </c>
      <c r="D68" s="49">
        <f aca="true" t="shared" si="3" ref="D68:D131">$D67-$C68</f>
        <v>26756.339592518914</v>
      </c>
      <c r="E68" s="50">
        <f t="shared" si="2"/>
        <v>297.21000000000004</v>
      </c>
      <c r="F68" s="60">
        <f>IF($E68&gt;0,IF(Parameter!$B$10="vorschüssig",_XLL.EDATUM(Parameter!$B$9,(A68-1)*12/Parameter!$B$3),_XLL.EDATUM(Parameter!$B$9,A68*12/Parameter!$B$3)),"")</f>
        <v>39383</v>
      </c>
      <c r="H68" s="52"/>
    </row>
    <row r="69" spans="1:8" s="51" customFormat="1" ht="12.75">
      <c r="A69" s="48">
        <v>68</v>
      </c>
      <c r="B69" s="49">
        <f>IF($D68&gt;0,IF($A69&gt;$G$2,$D68*Parameter!$B$8/Parameter!$B$3,$D68*Parameter!$B$2/Parameter!$B$3),0)</f>
        <v>127.09261306446484</v>
      </c>
      <c r="C69" s="49">
        <f>IF($A68&gt;=$G$3,MIN(IF(AND($A69&gt;$G$2,Parameter!$E$9),Parameter!$E$7-Zahlungsplan!$B69,Parameter!$B$5-$B69),$D68),0)</f>
        <v>170.1173869355352</v>
      </c>
      <c r="D69" s="49">
        <f t="shared" si="3"/>
        <v>26586.22220558338</v>
      </c>
      <c r="E69" s="50">
        <f t="shared" si="2"/>
        <v>297.21000000000004</v>
      </c>
      <c r="F69" s="60">
        <f>IF($E69&gt;0,IF(Parameter!$B$10="vorschüssig",_XLL.EDATUM(Parameter!$B$9,(A69-1)*12/Parameter!$B$3),_XLL.EDATUM(Parameter!$B$9,A69*12/Parameter!$B$3)),"")</f>
        <v>39414</v>
      </c>
      <c r="H69" s="52"/>
    </row>
    <row r="70" spans="1:8" s="51" customFormat="1" ht="12.75">
      <c r="A70" s="48">
        <v>69</v>
      </c>
      <c r="B70" s="49">
        <f>IF($D69&gt;0,IF($A70&gt;$G$2,$D69*Parameter!$B$8/Parameter!$B$3,$D69*Parameter!$B$2/Parameter!$B$3),0)</f>
        <v>126.28455547652106</v>
      </c>
      <c r="C70" s="49">
        <f>IF($A69&gt;=$G$3,MIN(IF(AND($A70&gt;$G$2,Parameter!$E$9),Parameter!$E$7-Zahlungsplan!$B70,Parameter!$B$5-$B70),$D69),0)</f>
        <v>170.92544452347897</v>
      </c>
      <c r="D70" s="49">
        <f t="shared" si="3"/>
        <v>26415.2967610599</v>
      </c>
      <c r="E70" s="50">
        <f t="shared" si="2"/>
        <v>297.21000000000004</v>
      </c>
      <c r="F70" s="60">
        <f>IF($E70&gt;0,IF(Parameter!$B$10="vorschüssig",_XLL.EDATUM(Parameter!$B$9,(A70-1)*12/Parameter!$B$3),_XLL.EDATUM(Parameter!$B$9,A70*12/Parameter!$B$3)),"")</f>
        <v>39444</v>
      </c>
      <c r="H70" s="52"/>
    </row>
    <row r="71" spans="1:8" s="51" customFormat="1" ht="12.75">
      <c r="A71" s="48">
        <v>70</v>
      </c>
      <c r="B71" s="49">
        <f>IF($D70&gt;0,IF($A71&gt;$G$2,$D70*Parameter!$B$8/Parameter!$B$3,$D70*Parameter!$B$2/Parameter!$B$3),0)</f>
        <v>125.47265961503454</v>
      </c>
      <c r="C71" s="49">
        <f>IF($A70&gt;=$G$3,MIN(IF(AND($A71&gt;$G$2,Parameter!$E$9),Parameter!$E$7-Zahlungsplan!$B71,Parameter!$B$5-$B71),$D70),0)</f>
        <v>171.73734038496548</v>
      </c>
      <c r="D71" s="49">
        <f t="shared" si="3"/>
        <v>26243.559420674934</v>
      </c>
      <c r="E71" s="50">
        <f t="shared" si="2"/>
        <v>297.21000000000004</v>
      </c>
      <c r="F71" s="60">
        <f>IF($E71&gt;0,IF(Parameter!$B$10="vorschüssig",_XLL.EDATUM(Parameter!$B$9,(A71-1)*12/Parameter!$B$3),_XLL.EDATUM(Parameter!$B$9,A71*12/Parameter!$B$3)),"")</f>
        <v>39475</v>
      </c>
      <c r="H71" s="52"/>
    </row>
    <row r="72" spans="1:8" s="51" customFormat="1" ht="12.75">
      <c r="A72" s="48">
        <v>71</v>
      </c>
      <c r="B72" s="49">
        <f>IF($D71&gt;0,IF($A72&gt;$G$2,$D71*Parameter!$B$8/Parameter!$B$3,$D71*Parameter!$B$2/Parameter!$B$3),0)</f>
        <v>124.65690724820594</v>
      </c>
      <c r="C72" s="49">
        <f>IF($A71&gt;=$G$3,MIN(IF(AND($A72&gt;$G$2,Parameter!$E$9),Parameter!$E$7-Zahlungsplan!$B72,Parameter!$B$5-$B72),$D71),0)</f>
        <v>172.5530927517941</v>
      </c>
      <c r="D72" s="49">
        <f t="shared" si="3"/>
        <v>26071.00632792314</v>
      </c>
      <c r="E72" s="50">
        <f t="shared" si="2"/>
        <v>297.21000000000004</v>
      </c>
      <c r="F72" s="60">
        <f>IF($E72&gt;0,IF(Parameter!$B$10="vorschüssig",_XLL.EDATUM(Parameter!$B$9,(A72-1)*12/Parameter!$B$3),_XLL.EDATUM(Parameter!$B$9,A72*12/Parameter!$B$3)),"")</f>
        <v>39506</v>
      </c>
      <c r="H72" s="52"/>
    </row>
    <row r="73" spans="1:8" s="51" customFormat="1" ht="12.75">
      <c r="A73" s="48">
        <v>72</v>
      </c>
      <c r="B73" s="49">
        <f>IF($D72&gt;0,IF($A73&gt;$G$2,$D72*Parameter!$B$8/Parameter!$B$3,$D72*Parameter!$B$2/Parameter!$B$3),0)</f>
        <v>123.83728005763493</v>
      </c>
      <c r="C73" s="49">
        <f>IF($A72&gt;=$G$3,MIN(IF(AND($A73&gt;$G$2,Parameter!$E$9),Parameter!$E$7-Zahlungsplan!$B73,Parameter!$B$5-$B73),$D72),0)</f>
        <v>173.3727199423651</v>
      </c>
      <c r="D73" s="49">
        <f t="shared" si="3"/>
        <v>25897.633607980773</v>
      </c>
      <c r="E73" s="50">
        <f t="shared" si="2"/>
        <v>297.21000000000004</v>
      </c>
      <c r="F73" s="60">
        <f>IF($E73&gt;0,IF(Parameter!$B$10="vorschüssig",_XLL.EDATUM(Parameter!$B$9,(A73-1)*12/Parameter!$B$3),_XLL.EDATUM(Parameter!$B$9,A73*12/Parameter!$B$3)),"")</f>
        <v>39535</v>
      </c>
      <c r="H73" s="52"/>
    </row>
    <row r="74" spans="1:8" s="51" customFormat="1" ht="12.75">
      <c r="A74" s="48">
        <v>73</v>
      </c>
      <c r="B74" s="49">
        <f>IF($D73&gt;0,IF($A74&gt;$G$2,$D73*Parameter!$B$8/Parameter!$B$3,$D73*Parameter!$B$2/Parameter!$B$3),0)</f>
        <v>123.01375963790868</v>
      </c>
      <c r="C74" s="49">
        <f>IF($A73&gt;=$G$3,MIN(IF(AND($A74&gt;$G$2,Parameter!$E$9),Parameter!$E$7-Zahlungsplan!$B74,Parameter!$B$5-$B74),$D73),0)</f>
        <v>174.19624036209137</v>
      </c>
      <c r="D74" s="49">
        <f t="shared" si="3"/>
        <v>25723.43736761868</v>
      </c>
      <c r="E74" s="50">
        <f t="shared" si="2"/>
        <v>297.21000000000004</v>
      </c>
      <c r="F74" s="60">
        <f>IF($E74&gt;0,IF(Parameter!$B$10="vorschüssig",_XLL.EDATUM(Parameter!$B$9,(A74-1)*12/Parameter!$B$3),_XLL.EDATUM(Parameter!$B$9,A74*12/Parameter!$B$3)),"")</f>
        <v>39566</v>
      </c>
      <c r="H74" s="52"/>
    </row>
    <row r="75" spans="1:8" s="51" customFormat="1" ht="12.75">
      <c r="A75" s="48">
        <v>74</v>
      </c>
      <c r="B75" s="49">
        <f>IF($D74&gt;0,IF($A75&gt;$G$2,$D74*Parameter!$B$8/Parameter!$B$3,$D74*Parameter!$B$2/Parameter!$B$3),0)</f>
        <v>122.18632749618872</v>
      </c>
      <c r="C75" s="49">
        <f>IF($A74&gt;=$G$3,MIN(IF(AND($A75&gt;$G$2,Parameter!$E$9),Parameter!$E$7-Zahlungsplan!$B75,Parameter!$B$5-$B75),$D74),0)</f>
        <v>175.02367250381133</v>
      </c>
      <c r="D75" s="49">
        <f t="shared" si="3"/>
        <v>25548.41369511487</v>
      </c>
      <c r="E75" s="50">
        <f t="shared" si="2"/>
        <v>297.21000000000004</v>
      </c>
      <c r="F75" s="60">
        <f>IF($E75&gt;0,IF(Parameter!$B$10="vorschüssig",_XLL.EDATUM(Parameter!$B$9,(A75-1)*12/Parameter!$B$3),_XLL.EDATUM(Parameter!$B$9,A75*12/Parameter!$B$3)),"")</f>
        <v>39596</v>
      </c>
      <c r="H75" s="52"/>
    </row>
    <row r="76" spans="1:8" s="51" customFormat="1" ht="12.75">
      <c r="A76" s="48">
        <v>75</v>
      </c>
      <c r="B76" s="49">
        <f>IF($D75&gt;0,IF($A76&gt;$G$2,$D75*Parameter!$B$8/Parameter!$B$3,$D75*Parameter!$B$2/Parameter!$B$3),0)</f>
        <v>121.35496505179562</v>
      </c>
      <c r="C76" s="49">
        <f>IF($A75&gt;=$G$3,MIN(IF(AND($A76&gt;$G$2,Parameter!$E$9),Parameter!$E$7-Zahlungsplan!$B76,Parameter!$B$5-$B76),$D75),0)</f>
        <v>175.85503494820443</v>
      </c>
      <c r="D76" s="49">
        <f t="shared" si="3"/>
        <v>25372.558660166666</v>
      </c>
      <c r="E76" s="50">
        <f t="shared" si="2"/>
        <v>297.21000000000004</v>
      </c>
      <c r="F76" s="60">
        <f>IF($E76&gt;0,IF(Parameter!$B$10="vorschüssig",_XLL.EDATUM(Parameter!$B$9,(A76-1)*12/Parameter!$B$3),_XLL.EDATUM(Parameter!$B$9,A76*12/Parameter!$B$3)),"")</f>
        <v>39627</v>
      </c>
      <c r="H76" s="52"/>
    </row>
    <row r="77" spans="1:8" s="51" customFormat="1" ht="12.75">
      <c r="A77" s="48">
        <v>76</v>
      </c>
      <c r="B77" s="49">
        <f>IF($D76&gt;0,IF($A77&gt;$G$2,$D76*Parameter!$B$8/Parameter!$B$3,$D76*Parameter!$B$2/Parameter!$B$3),0)</f>
        <v>120.51965363579167</v>
      </c>
      <c r="C77" s="49">
        <f>IF($A76&gt;=$G$3,MIN(IF(AND($A77&gt;$G$2,Parameter!$E$9),Parameter!$E$7-Zahlungsplan!$B77,Parameter!$B$5-$B77),$D76),0)</f>
        <v>176.69034636420838</v>
      </c>
      <c r="D77" s="49">
        <f t="shared" si="3"/>
        <v>25195.868313802457</v>
      </c>
      <c r="E77" s="50">
        <f t="shared" si="2"/>
        <v>297.21000000000004</v>
      </c>
      <c r="F77" s="60">
        <f>IF($E77&gt;0,IF(Parameter!$B$10="vorschüssig",_XLL.EDATUM(Parameter!$B$9,(A77-1)*12/Parameter!$B$3),_XLL.EDATUM(Parameter!$B$9,A77*12/Parameter!$B$3)),"")</f>
        <v>39657</v>
      </c>
      <c r="H77" s="52"/>
    </row>
    <row r="78" spans="1:8" s="51" customFormat="1" ht="12.75">
      <c r="A78" s="48">
        <v>77</v>
      </c>
      <c r="B78" s="49">
        <f>IF($D77&gt;0,IF($A78&gt;$G$2,$D77*Parameter!$B$8/Parameter!$B$3,$D77*Parameter!$B$2/Parameter!$B$3),0)</f>
        <v>119.68037449056168</v>
      </c>
      <c r="C78" s="49">
        <f>IF($A77&gt;=$G$3,MIN(IF(AND($A78&gt;$G$2,Parameter!$E$9),Parameter!$E$7-Zahlungsplan!$B78,Parameter!$B$5-$B78),$D77),0)</f>
        <v>177.52962550943835</v>
      </c>
      <c r="D78" s="49">
        <f t="shared" si="3"/>
        <v>25018.338688293017</v>
      </c>
      <c r="E78" s="50">
        <f t="shared" si="2"/>
        <v>297.21000000000004</v>
      </c>
      <c r="F78" s="60">
        <f>IF($E78&gt;0,IF(Parameter!$B$10="vorschüssig",_XLL.EDATUM(Parameter!$B$9,(A78-1)*12/Parameter!$B$3),_XLL.EDATUM(Parameter!$B$9,A78*12/Parameter!$B$3)),"")</f>
        <v>39688</v>
      </c>
      <c r="H78" s="52"/>
    </row>
    <row r="79" spans="1:8" s="51" customFormat="1" ht="12.75">
      <c r="A79" s="48">
        <v>78</v>
      </c>
      <c r="B79" s="49">
        <f>IF($D78&gt;0,IF($A79&gt;$G$2,$D78*Parameter!$B$8/Parameter!$B$3,$D78*Parameter!$B$2/Parameter!$B$3),0)</f>
        <v>118.83710876939183</v>
      </c>
      <c r="C79" s="49">
        <f>IF($A78&gt;=$G$3,MIN(IF(AND($A79&gt;$G$2,Parameter!$E$9),Parameter!$E$7-Zahlungsplan!$B79,Parameter!$B$5-$B79),$D78),0)</f>
        <v>178.37289123060822</v>
      </c>
      <c r="D79" s="49">
        <f t="shared" si="3"/>
        <v>24839.96579706241</v>
      </c>
      <c r="E79" s="50">
        <f t="shared" si="2"/>
        <v>297.21000000000004</v>
      </c>
      <c r="F79" s="60">
        <f>IF($E79&gt;0,IF(Parameter!$B$10="vorschüssig",_XLL.EDATUM(Parameter!$B$9,(A79-1)*12/Parameter!$B$3),_XLL.EDATUM(Parameter!$B$9,A79*12/Parameter!$B$3)),"")</f>
        <v>39719</v>
      </c>
      <c r="H79" s="52"/>
    </row>
    <row r="80" spans="1:8" s="51" customFormat="1" ht="12.75">
      <c r="A80" s="48">
        <v>79</v>
      </c>
      <c r="B80" s="49">
        <f>IF($D79&gt;0,IF($A80&gt;$G$2,$D79*Parameter!$B$8/Parameter!$B$3,$D79*Parameter!$B$2/Parameter!$B$3),0)</f>
        <v>117.98983753604647</v>
      </c>
      <c r="C80" s="49">
        <f>IF($A79&gt;=$G$3,MIN(IF(AND($A80&gt;$G$2,Parameter!$E$9),Parameter!$E$7-Zahlungsplan!$B80,Parameter!$B$5-$B80),$D79),0)</f>
        <v>179.22016246395356</v>
      </c>
      <c r="D80" s="49">
        <f t="shared" si="3"/>
        <v>24660.745634598457</v>
      </c>
      <c r="E80" s="50">
        <f t="shared" si="2"/>
        <v>297.21000000000004</v>
      </c>
      <c r="F80" s="60">
        <f>IF($E80&gt;0,IF(Parameter!$B$10="vorschüssig",_XLL.EDATUM(Parameter!$B$9,(A80-1)*12/Parameter!$B$3),_XLL.EDATUM(Parameter!$B$9,A80*12/Parameter!$B$3)),"")</f>
        <v>39749</v>
      </c>
      <c r="H80" s="52"/>
    </row>
    <row r="81" spans="1:8" s="51" customFormat="1" ht="12.75">
      <c r="A81" s="48">
        <v>80</v>
      </c>
      <c r="B81" s="49">
        <f>IF($D80&gt;0,IF($A81&gt;$G$2,$D80*Parameter!$B$8/Parameter!$B$3,$D80*Parameter!$B$2/Parameter!$B$3),0)</f>
        <v>117.13854176434268</v>
      </c>
      <c r="C81" s="49">
        <f>IF($A80&gt;=$G$3,MIN(IF(AND($A81&gt;$G$2,Parameter!$E$9),Parameter!$E$7-Zahlungsplan!$B81,Parameter!$B$5-$B81),$D80),0)</f>
        <v>180.07145823565736</v>
      </c>
      <c r="D81" s="49">
        <f t="shared" si="3"/>
        <v>24480.6741763628</v>
      </c>
      <c r="E81" s="50">
        <f t="shared" si="2"/>
        <v>297.21000000000004</v>
      </c>
      <c r="F81" s="60">
        <f>IF($E81&gt;0,IF(Parameter!$B$10="vorschüssig",_XLL.EDATUM(Parameter!$B$9,(A81-1)*12/Parameter!$B$3),_XLL.EDATUM(Parameter!$B$9,A81*12/Parameter!$B$3)),"")</f>
        <v>39780</v>
      </c>
      <c r="H81" s="52"/>
    </row>
    <row r="82" spans="1:8" s="51" customFormat="1" ht="12.75">
      <c r="A82" s="48">
        <v>81</v>
      </c>
      <c r="B82" s="49">
        <f>IF($D81&gt;0,IF($A82&gt;$G$2,$D81*Parameter!$B$8/Parameter!$B$3,$D81*Parameter!$B$2/Parameter!$B$3),0)</f>
        <v>116.28320233772331</v>
      </c>
      <c r="C82" s="49">
        <f>IF($A81&gt;=$G$3,MIN(IF(AND($A82&gt;$G$2,Parameter!$E$9),Parameter!$E$7-Zahlungsplan!$B82,Parameter!$B$5-$B82),$D81),0)</f>
        <v>180.92679766227673</v>
      </c>
      <c r="D82" s="49">
        <f t="shared" si="3"/>
        <v>24299.747378700526</v>
      </c>
      <c r="E82" s="50">
        <f t="shared" si="2"/>
        <v>297.21000000000004</v>
      </c>
      <c r="F82" s="60">
        <f>IF($E82&gt;0,IF(Parameter!$B$10="vorschüssig",_XLL.EDATUM(Parameter!$B$9,(A82-1)*12/Parameter!$B$3),_XLL.EDATUM(Parameter!$B$9,A82*12/Parameter!$B$3)),"")</f>
        <v>39810</v>
      </c>
      <c r="H82" s="52"/>
    </row>
    <row r="83" spans="1:8" s="51" customFormat="1" ht="12.75">
      <c r="A83" s="48">
        <v>82</v>
      </c>
      <c r="B83" s="49">
        <f>IF($D82&gt;0,IF($A83&gt;$G$2,$D82*Parameter!$B$8/Parameter!$B$3,$D82*Parameter!$B$2/Parameter!$B$3),0)</f>
        <v>115.4238000488275</v>
      </c>
      <c r="C83" s="49">
        <f>IF($A82&gt;=$G$3,MIN(IF(AND($A83&gt;$G$2,Parameter!$E$9),Parameter!$E$7-Zahlungsplan!$B83,Parameter!$B$5-$B83),$D82),0)</f>
        <v>181.78619995117253</v>
      </c>
      <c r="D83" s="49">
        <f t="shared" si="3"/>
        <v>24117.961178749352</v>
      </c>
      <c r="E83" s="50">
        <f t="shared" si="2"/>
        <v>297.21000000000004</v>
      </c>
      <c r="F83" s="60">
        <f>IF($E83&gt;0,IF(Parameter!$B$10="vorschüssig",_XLL.EDATUM(Parameter!$B$9,(A83-1)*12/Parameter!$B$3),_XLL.EDATUM(Parameter!$B$9,A83*12/Parameter!$B$3)),"")</f>
        <v>39841</v>
      </c>
      <c r="H83" s="52"/>
    </row>
    <row r="84" spans="1:8" s="51" customFormat="1" ht="12.75">
      <c r="A84" s="48">
        <v>83</v>
      </c>
      <c r="B84" s="49">
        <f>IF($D83&gt;0,IF($A84&gt;$G$2,$D83*Parameter!$B$8/Parameter!$B$3,$D83*Parameter!$B$2/Parameter!$B$3),0)</f>
        <v>114.56031559905944</v>
      </c>
      <c r="C84" s="49">
        <f>IF($A83&gt;=$G$3,MIN(IF(AND($A84&gt;$G$2,Parameter!$E$9),Parameter!$E$7-Zahlungsplan!$B84,Parameter!$B$5-$B84),$D83),0)</f>
        <v>182.6496844009406</v>
      </c>
      <c r="D84" s="49">
        <f t="shared" si="3"/>
        <v>23935.31149434841</v>
      </c>
      <c r="E84" s="50">
        <f t="shared" si="2"/>
        <v>297.21000000000004</v>
      </c>
      <c r="F84" s="60">
        <f>IF($E84&gt;0,IF(Parameter!$B$10="vorschüssig",_XLL.EDATUM(Parameter!$B$9,(A84-1)*12/Parameter!$B$3),_XLL.EDATUM(Parameter!$B$9,A84*12/Parameter!$B$3)),"")</f>
        <v>39872</v>
      </c>
      <c r="H84" s="52"/>
    </row>
    <row r="85" spans="1:8" s="51" customFormat="1" ht="12.75">
      <c r="A85" s="48">
        <v>84</v>
      </c>
      <c r="B85" s="49">
        <f>IF($D84&gt;0,IF($A85&gt;$G$2,$D84*Parameter!$B$8/Parameter!$B$3,$D84*Parameter!$B$2/Parameter!$B$3),0)</f>
        <v>113.69272959815494</v>
      </c>
      <c r="C85" s="49">
        <f>IF($A84&gt;=$G$3,MIN(IF(AND($A85&gt;$G$2,Parameter!$E$9),Parameter!$E$7-Zahlungsplan!$B85,Parameter!$B$5-$B85),$D84),0)</f>
        <v>183.5172704018451</v>
      </c>
      <c r="D85" s="49">
        <f t="shared" si="3"/>
        <v>23751.794223946566</v>
      </c>
      <c r="E85" s="50">
        <f t="shared" si="2"/>
        <v>297.21000000000004</v>
      </c>
      <c r="F85" s="60">
        <f>IF($E85&gt;0,IF(Parameter!$B$10="vorschüssig",_XLL.EDATUM(Parameter!$B$9,(A85-1)*12/Parameter!$B$3),_XLL.EDATUM(Parameter!$B$9,A85*12/Parameter!$B$3)),"")</f>
        <v>39900</v>
      </c>
      <c r="H85" s="52"/>
    </row>
    <row r="86" spans="1:8" s="51" customFormat="1" ht="12.75">
      <c r="A86" s="48">
        <v>85</v>
      </c>
      <c r="B86" s="49">
        <f>IF($D85&gt;0,IF($A86&gt;$G$2,$D85*Parameter!$B$8/Parameter!$B$3,$D85*Parameter!$B$2/Parameter!$B$3),0)</f>
        <v>112.82102256374618</v>
      </c>
      <c r="C86" s="49">
        <f>IF($A85&gt;=$G$3,MIN(IF(AND($A86&gt;$G$2,Parameter!$E$9),Parameter!$E$7-Zahlungsplan!$B86,Parameter!$B$5-$B86),$D85),0)</f>
        <v>184.38897743625387</v>
      </c>
      <c r="D86" s="49">
        <f t="shared" si="3"/>
        <v>23567.405246510312</v>
      </c>
      <c r="E86" s="50">
        <f t="shared" si="2"/>
        <v>297.21000000000004</v>
      </c>
      <c r="F86" s="60">
        <f>IF($E86&gt;0,IF(Parameter!$B$10="vorschüssig",_XLL.EDATUM(Parameter!$B$9,(A86-1)*12/Parameter!$B$3),_XLL.EDATUM(Parameter!$B$9,A86*12/Parameter!$B$3)),"")</f>
        <v>39931</v>
      </c>
      <c r="H86" s="52"/>
    </row>
    <row r="87" spans="1:8" s="51" customFormat="1" ht="12.75">
      <c r="A87" s="48">
        <v>86</v>
      </c>
      <c r="B87" s="49">
        <f>IF($D86&gt;0,IF($A87&gt;$G$2,$D86*Parameter!$B$8/Parameter!$B$3,$D86*Parameter!$B$2/Parameter!$B$3),0)</f>
        <v>111.94517492092399</v>
      </c>
      <c r="C87" s="49">
        <f>IF($A86&gt;=$G$3,MIN(IF(AND($A87&gt;$G$2,Parameter!$E$9),Parameter!$E$7-Zahlungsplan!$B87,Parameter!$B$5-$B87),$D86),0)</f>
        <v>185.26482507907605</v>
      </c>
      <c r="D87" s="49">
        <f t="shared" si="3"/>
        <v>23382.140421431235</v>
      </c>
      <c r="E87" s="50">
        <f t="shared" si="2"/>
        <v>297.21000000000004</v>
      </c>
      <c r="F87" s="60">
        <f>IF($E87&gt;0,IF(Parameter!$B$10="vorschüssig",_XLL.EDATUM(Parameter!$B$9,(A87-1)*12/Parameter!$B$3),_XLL.EDATUM(Parameter!$B$9,A87*12/Parameter!$B$3)),"")</f>
        <v>39961</v>
      </c>
      <c r="H87" s="52"/>
    </row>
    <row r="88" spans="1:8" s="51" customFormat="1" ht="12.75">
      <c r="A88" s="48">
        <v>87</v>
      </c>
      <c r="B88" s="49">
        <f>IF($D87&gt;0,IF($A88&gt;$G$2,$D87*Parameter!$B$8/Parameter!$B$3,$D87*Parameter!$B$2/Parameter!$B$3),0)</f>
        <v>111.06516700179837</v>
      </c>
      <c r="C88" s="49">
        <f>IF($A87&gt;=$G$3,MIN(IF(AND($A88&gt;$G$2,Parameter!$E$9),Parameter!$E$7-Zahlungsplan!$B88,Parameter!$B$5-$B88),$D87),0)</f>
        <v>186.14483299820165</v>
      </c>
      <c r="D88" s="49">
        <f t="shared" si="3"/>
        <v>23195.995588433034</v>
      </c>
      <c r="E88" s="50">
        <f t="shared" si="2"/>
        <v>297.21000000000004</v>
      </c>
      <c r="F88" s="60">
        <f>IF($E88&gt;0,IF(Parameter!$B$10="vorschüssig",_XLL.EDATUM(Parameter!$B$9,(A88-1)*12/Parameter!$B$3),_XLL.EDATUM(Parameter!$B$9,A88*12/Parameter!$B$3)),"")</f>
        <v>39992</v>
      </c>
      <c r="H88" s="52"/>
    </row>
    <row r="89" spans="1:8" s="51" customFormat="1" ht="12.75">
      <c r="A89" s="48">
        <v>88</v>
      </c>
      <c r="B89" s="49">
        <f>IF($D88&gt;0,IF($A89&gt;$G$2,$D88*Parameter!$B$8/Parameter!$B$3,$D88*Parameter!$B$2/Parameter!$B$3),0)</f>
        <v>110.18097904505692</v>
      </c>
      <c r="C89" s="49">
        <f>IF($A88&gt;=$G$3,MIN(IF(AND($A89&gt;$G$2,Parameter!$E$9),Parameter!$E$7-Zahlungsplan!$B89,Parameter!$B$5-$B89),$D88),0)</f>
        <v>187.02902095494312</v>
      </c>
      <c r="D89" s="49">
        <f t="shared" si="3"/>
        <v>23008.96656747809</v>
      </c>
      <c r="E89" s="50">
        <f t="shared" si="2"/>
        <v>297.21000000000004</v>
      </c>
      <c r="F89" s="60">
        <f>IF($E89&gt;0,IF(Parameter!$B$10="vorschüssig",_XLL.EDATUM(Parameter!$B$9,(A89-1)*12/Parameter!$B$3),_XLL.EDATUM(Parameter!$B$9,A89*12/Parameter!$B$3)),"")</f>
        <v>40022</v>
      </c>
      <c r="H89" s="52"/>
    </row>
    <row r="90" spans="1:8" s="51" customFormat="1" ht="12.75">
      <c r="A90" s="48">
        <v>89</v>
      </c>
      <c r="B90" s="49">
        <f>IF($D89&gt;0,IF($A90&gt;$G$2,$D89*Parameter!$B$8/Parameter!$B$3,$D89*Parameter!$B$2/Parameter!$B$3),0)</f>
        <v>109.29259119552093</v>
      </c>
      <c r="C90" s="49">
        <f>IF($A89&gt;=$G$3,MIN(IF(AND($A90&gt;$G$2,Parameter!$E$9),Parameter!$E$7-Zahlungsplan!$B90,Parameter!$B$5-$B90),$D89),0)</f>
        <v>187.91740880447912</v>
      </c>
      <c r="D90" s="49">
        <f t="shared" si="3"/>
        <v>22821.049158673613</v>
      </c>
      <c r="E90" s="50">
        <f t="shared" si="2"/>
        <v>297.21000000000004</v>
      </c>
      <c r="F90" s="60">
        <f>IF($E90&gt;0,IF(Parameter!$B$10="vorschüssig",_XLL.EDATUM(Parameter!$B$9,(A90-1)*12/Parameter!$B$3),_XLL.EDATUM(Parameter!$B$9,A90*12/Parameter!$B$3)),"")</f>
        <v>40053</v>
      </c>
      <c r="H90" s="52"/>
    </row>
    <row r="91" spans="1:8" s="51" customFormat="1" ht="12.75">
      <c r="A91" s="48">
        <v>90</v>
      </c>
      <c r="B91" s="49">
        <f>IF($D90&gt;0,IF($A91&gt;$G$2,$D90*Parameter!$B$8/Parameter!$B$3,$D90*Parameter!$B$2/Parameter!$B$3),0)</f>
        <v>108.39998350369967</v>
      </c>
      <c r="C91" s="49">
        <f>IF($A90&gt;=$G$3,MIN(IF(AND($A91&gt;$G$2,Parameter!$E$9),Parameter!$E$7-Zahlungsplan!$B91,Parameter!$B$5-$B91),$D90),0)</f>
        <v>188.81001649630036</v>
      </c>
      <c r="D91" s="49">
        <f t="shared" si="3"/>
        <v>22632.239142177314</v>
      </c>
      <c r="E91" s="50">
        <f t="shared" si="2"/>
        <v>297.21000000000004</v>
      </c>
      <c r="F91" s="60">
        <f>IF($E91&gt;0,IF(Parameter!$B$10="vorschüssig",_XLL.EDATUM(Parameter!$B$9,(A91-1)*12/Parameter!$B$3),_XLL.EDATUM(Parameter!$B$9,A91*12/Parameter!$B$3)),"")</f>
        <v>40084</v>
      </c>
      <c r="H91" s="52"/>
    </row>
    <row r="92" spans="1:8" s="51" customFormat="1" ht="12.75">
      <c r="A92" s="48">
        <v>91</v>
      </c>
      <c r="B92" s="49">
        <f>IF($D91&gt;0,IF($A92&gt;$G$2,$D91*Parameter!$B$8/Parameter!$B$3,$D91*Parameter!$B$2/Parameter!$B$3),0)</f>
        <v>107.50313592534224</v>
      </c>
      <c r="C92" s="49">
        <f>IF($A91&gt;=$G$3,MIN(IF(AND($A92&gt;$G$2,Parameter!$E$9),Parameter!$E$7-Zahlungsplan!$B92,Parameter!$B$5-$B92),$D91),0)</f>
        <v>189.7068640746578</v>
      </c>
      <c r="D92" s="49">
        <f t="shared" si="3"/>
        <v>22442.532278102655</v>
      </c>
      <c r="E92" s="50">
        <f t="shared" si="2"/>
        <v>297.21000000000004</v>
      </c>
      <c r="F92" s="60">
        <f>IF($E92&gt;0,IF(Parameter!$B$10="vorschüssig",_XLL.EDATUM(Parameter!$B$9,(A92-1)*12/Parameter!$B$3),_XLL.EDATUM(Parameter!$B$9,A92*12/Parameter!$B$3)),"")</f>
        <v>40114</v>
      </c>
      <c r="H92" s="52"/>
    </row>
    <row r="93" spans="1:8" s="51" customFormat="1" ht="12.75">
      <c r="A93" s="48">
        <v>92</v>
      </c>
      <c r="B93" s="49">
        <f>IF($D92&gt;0,IF($A93&gt;$G$2,$D92*Parameter!$B$8/Parameter!$B$3,$D92*Parameter!$B$2/Parameter!$B$3),0)</f>
        <v>106.60202832098763</v>
      </c>
      <c r="C93" s="49">
        <f>IF($A92&gt;=$G$3,MIN(IF(AND($A93&gt;$G$2,Parameter!$E$9),Parameter!$E$7-Zahlungsplan!$B93,Parameter!$B$5-$B93),$D92),0)</f>
        <v>190.6079716790124</v>
      </c>
      <c r="D93" s="49">
        <f t="shared" si="3"/>
        <v>22251.924306423643</v>
      </c>
      <c r="E93" s="50">
        <f t="shared" si="2"/>
        <v>297.21000000000004</v>
      </c>
      <c r="F93" s="60">
        <f>IF($E93&gt;0,IF(Parameter!$B$10="vorschüssig",_XLL.EDATUM(Parameter!$B$9,(A93-1)*12/Parameter!$B$3),_XLL.EDATUM(Parameter!$B$9,A93*12/Parameter!$B$3)),"")</f>
        <v>40145</v>
      </c>
      <c r="H93" s="52"/>
    </row>
    <row r="94" spans="1:8" s="51" customFormat="1" ht="12.75">
      <c r="A94" s="48">
        <v>93</v>
      </c>
      <c r="B94" s="49">
        <f>IF($D93&gt;0,IF($A94&gt;$G$2,$D93*Parameter!$B$8/Parameter!$B$3,$D93*Parameter!$B$2/Parameter!$B$3),0)</f>
        <v>105.69664045551231</v>
      </c>
      <c r="C94" s="49">
        <f>IF($A93&gt;=$G$3,MIN(IF(AND($A94&gt;$G$2,Parameter!$E$9),Parameter!$E$7-Zahlungsplan!$B94,Parameter!$B$5-$B94),$D93),0)</f>
        <v>191.51335954448774</v>
      </c>
      <c r="D94" s="49">
        <f t="shared" si="3"/>
        <v>22060.410946879154</v>
      </c>
      <c r="E94" s="50">
        <f t="shared" si="2"/>
        <v>297.21000000000004</v>
      </c>
      <c r="F94" s="60">
        <f>IF($E94&gt;0,IF(Parameter!$B$10="vorschüssig",_XLL.EDATUM(Parameter!$B$9,(A94-1)*12/Parameter!$B$3),_XLL.EDATUM(Parameter!$B$9,A94*12/Parameter!$B$3)),"")</f>
        <v>40175</v>
      </c>
      <c r="H94" s="52"/>
    </row>
    <row r="95" spans="1:8" s="51" customFormat="1" ht="12.75">
      <c r="A95" s="48">
        <v>94</v>
      </c>
      <c r="B95" s="49">
        <f>IF($D94&gt;0,IF($A95&gt;$G$2,$D94*Parameter!$B$8/Parameter!$B$3,$D94*Parameter!$B$2/Parameter!$B$3),0)</f>
        <v>104.78695199767598</v>
      </c>
      <c r="C95" s="49">
        <f>IF($A94&gt;=$G$3,MIN(IF(AND($A95&gt;$G$2,Parameter!$E$9),Parameter!$E$7-Zahlungsplan!$B95,Parameter!$B$5-$B95),$D94),0)</f>
        <v>192.42304800232404</v>
      </c>
      <c r="D95" s="49">
        <f t="shared" si="3"/>
        <v>21867.98789887683</v>
      </c>
      <c r="E95" s="50">
        <f t="shared" si="2"/>
        <v>297.21000000000004</v>
      </c>
      <c r="F95" s="60">
        <f>IF($E95&gt;0,IF(Parameter!$B$10="vorschüssig",_XLL.EDATUM(Parameter!$B$9,(A95-1)*12/Parameter!$B$3),_XLL.EDATUM(Parameter!$B$9,A95*12/Parameter!$B$3)),"")</f>
        <v>40206</v>
      </c>
      <c r="H95" s="52"/>
    </row>
    <row r="96" spans="1:8" s="51" customFormat="1" ht="12.75">
      <c r="A96" s="48">
        <v>95</v>
      </c>
      <c r="B96" s="49">
        <f>IF($D95&gt;0,IF($A96&gt;$G$2,$D95*Parameter!$B$8/Parameter!$B$3,$D95*Parameter!$B$2/Parameter!$B$3),0)</f>
        <v>103.87294251966495</v>
      </c>
      <c r="C96" s="49">
        <f>IF($A95&gt;=$G$3,MIN(IF(AND($A96&gt;$G$2,Parameter!$E$9),Parameter!$E$7-Zahlungsplan!$B96,Parameter!$B$5-$B96),$D95),0)</f>
        <v>193.3370574803351</v>
      </c>
      <c r="D96" s="49">
        <f t="shared" si="3"/>
        <v>21674.650841396495</v>
      </c>
      <c r="E96" s="50">
        <f t="shared" si="2"/>
        <v>297.21000000000004</v>
      </c>
      <c r="F96" s="60">
        <f>IF($E96&gt;0,IF(Parameter!$B$10="vorschüssig",_XLL.EDATUM(Parameter!$B$9,(A96-1)*12/Parameter!$B$3),_XLL.EDATUM(Parameter!$B$9,A96*12/Parameter!$B$3)),"")</f>
        <v>40237</v>
      </c>
      <c r="H96" s="52"/>
    </row>
    <row r="97" spans="1:8" s="51" customFormat="1" ht="12.75">
      <c r="A97" s="48">
        <v>96</v>
      </c>
      <c r="B97" s="49">
        <f>IF($D96&gt;0,IF($A97&gt;$G$2,$D96*Parameter!$B$8/Parameter!$B$3,$D96*Parameter!$B$2/Parameter!$B$3),0)</f>
        <v>102.95459149663334</v>
      </c>
      <c r="C97" s="49">
        <f>IF($A96&gt;=$G$3,MIN(IF(AND($A97&gt;$G$2,Parameter!$E$9),Parameter!$E$7-Zahlungsplan!$B97,Parameter!$B$5-$B97),$D96),0)</f>
        <v>194.2554085033667</v>
      </c>
      <c r="D97" s="49">
        <f t="shared" si="3"/>
        <v>21480.39543289313</v>
      </c>
      <c r="E97" s="50">
        <f t="shared" si="2"/>
        <v>297.21000000000004</v>
      </c>
      <c r="F97" s="60">
        <f>IF($E97&gt;0,IF(Parameter!$B$10="vorschüssig",_XLL.EDATUM(Parameter!$B$9,(A97-1)*12/Parameter!$B$3),_XLL.EDATUM(Parameter!$B$9,A97*12/Parameter!$B$3)),"")</f>
        <v>40265</v>
      </c>
      <c r="H97" s="52"/>
    </row>
    <row r="98" spans="1:8" s="51" customFormat="1" ht="12.75">
      <c r="A98" s="48">
        <v>97</v>
      </c>
      <c r="B98" s="49">
        <f>IF($D97&gt;0,IF($A98&gt;$G$2,$D97*Parameter!$B$8/Parameter!$B$3,$D97*Parameter!$B$2/Parameter!$B$3),0)</f>
        <v>102.03187830624238</v>
      </c>
      <c r="C98" s="49">
        <f>IF($A97&gt;=$G$3,MIN(IF(AND($A98&gt;$G$2,Parameter!$E$9),Parameter!$E$7-Zahlungsplan!$B98,Parameter!$B$5-$B98),$D97),0)</f>
        <v>195.17812169375765</v>
      </c>
      <c r="D98" s="49">
        <f t="shared" si="3"/>
        <v>21285.217311199372</v>
      </c>
      <c r="E98" s="50">
        <f t="shared" si="2"/>
        <v>297.21000000000004</v>
      </c>
      <c r="F98" s="60">
        <f>IF($E98&gt;0,IF(Parameter!$B$10="vorschüssig",_XLL.EDATUM(Parameter!$B$9,(A98-1)*12/Parameter!$B$3),_XLL.EDATUM(Parameter!$B$9,A98*12/Parameter!$B$3)),"")</f>
        <v>40296</v>
      </c>
      <c r="H98" s="52"/>
    </row>
    <row r="99" spans="1:8" s="51" customFormat="1" ht="12.75">
      <c r="A99" s="48">
        <v>98</v>
      </c>
      <c r="B99" s="49">
        <f>IF($D98&gt;0,IF($A99&gt;$G$2,$D98*Parameter!$B$8/Parameter!$B$3,$D98*Parameter!$B$2/Parameter!$B$3),0)</f>
        <v>101.10478222819701</v>
      </c>
      <c r="C99" s="49">
        <f>IF($A98&gt;=$G$3,MIN(IF(AND($A99&gt;$G$2,Parameter!$E$9),Parameter!$E$7-Zahlungsplan!$B99,Parameter!$B$5-$B99),$D98),0)</f>
        <v>196.10521777180304</v>
      </c>
      <c r="D99" s="49">
        <f t="shared" si="3"/>
        <v>21089.112093427568</v>
      </c>
      <c r="E99" s="50">
        <f t="shared" si="2"/>
        <v>297.21000000000004</v>
      </c>
      <c r="F99" s="60">
        <f>IF($E99&gt;0,IF(Parameter!$B$10="vorschüssig",_XLL.EDATUM(Parameter!$B$9,(A99-1)*12/Parameter!$B$3),_XLL.EDATUM(Parameter!$B$9,A99*12/Parameter!$B$3)),"")</f>
        <v>40326</v>
      </c>
      <c r="H99" s="52"/>
    </row>
    <row r="100" spans="1:8" s="51" customFormat="1" ht="12.75">
      <c r="A100" s="48">
        <v>99</v>
      </c>
      <c r="B100" s="49">
        <f>IF($D99&gt;0,IF($A100&gt;$G$2,$D99*Parameter!$B$8/Parameter!$B$3,$D99*Parameter!$B$2/Parameter!$B$3),0)</f>
        <v>100.17328244378096</v>
      </c>
      <c r="C100" s="49">
        <f>IF($A99&gt;=$G$3,MIN(IF(AND($A100&gt;$G$2,Parameter!$E$9),Parameter!$E$7-Zahlungsplan!$B100,Parameter!$B$5-$B100),$D99),0)</f>
        <v>197.03671755621906</v>
      </c>
      <c r="D100" s="49">
        <f t="shared" si="3"/>
        <v>20892.075375871347</v>
      </c>
      <c r="E100" s="50">
        <f t="shared" si="2"/>
        <v>297.21000000000004</v>
      </c>
      <c r="F100" s="60">
        <f>IF($E100&gt;0,IF(Parameter!$B$10="vorschüssig",_XLL.EDATUM(Parameter!$B$9,(A100-1)*12/Parameter!$B$3),_XLL.EDATUM(Parameter!$B$9,A100*12/Parameter!$B$3)),"")</f>
        <v>40357</v>
      </c>
      <c r="H100" s="52"/>
    </row>
    <row r="101" spans="1:8" s="51" customFormat="1" ht="12.75">
      <c r="A101" s="48">
        <v>100</v>
      </c>
      <c r="B101" s="49">
        <f>IF($D100&gt;0,IF($A101&gt;$G$2,$D100*Parameter!$B$8/Parameter!$B$3,$D100*Parameter!$B$2/Parameter!$B$3),0)</f>
        <v>99.23735803538891</v>
      </c>
      <c r="C101" s="49">
        <f>IF($A100&gt;=$G$3,MIN(IF(AND($A101&gt;$G$2,Parameter!$E$9),Parameter!$E$7-Zahlungsplan!$B101,Parameter!$B$5-$B101),$D100),0)</f>
        <v>197.9726419646111</v>
      </c>
      <c r="D101" s="49">
        <f t="shared" si="3"/>
        <v>20694.102733906737</v>
      </c>
      <c r="E101" s="50">
        <f t="shared" si="2"/>
        <v>297.21000000000004</v>
      </c>
      <c r="F101" s="60">
        <f>IF($E101&gt;0,IF(Parameter!$B$10="vorschüssig",_XLL.EDATUM(Parameter!$B$9,(A101-1)*12/Parameter!$B$3),_XLL.EDATUM(Parameter!$B$9,A101*12/Parameter!$B$3)),"")</f>
        <v>40387</v>
      </c>
      <c r="H101" s="52"/>
    </row>
    <row r="102" spans="1:8" s="51" customFormat="1" ht="12.75">
      <c r="A102" s="48">
        <v>101</v>
      </c>
      <c r="B102" s="49">
        <f>IF($D101&gt;0,IF($A102&gt;$G$2,$D101*Parameter!$B$8/Parameter!$B$3,$D101*Parameter!$B$2/Parameter!$B$3),0)</f>
        <v>98.296987986057</v>
      </c>
      <c r="C102" s="49">
        <f>IF($A101&gt;=$G$3,MIN(IF(AND($A102&gt;$G$2,Parameter!$E$9),Parameter!$E$7-Zahlungsplan!$B102,Parameter!$B$5-$B102),$D101),0)</f>
        <v>198.91301201394305</v>
      </c>
      <c r="D102" s="49">
        <f t="shared" si="3"/>
        <v>20495.189721892795</v>
      </c>
      <c r="E102" s="50">
        <f t="shared" si="2"/>
        <v>297.21000000000004</v>
      </c>
      <c r="F102" s="60">
        <f>IF($E102&gt;0,IF(Parameter!$B$10="vorschüssig",_XLL.EDATUM(Parameter!$B$9,(A102-1)*12/Parameter!$B$3),_XLL.EDATUM(Parameter!$B$9,A102*12/Parameter!$B$3)),"")</f>
        <v>40418</v>
      </c>
      <c r="H102" s="52"/>
    </row>
    <row r="103" spans="1:8" s="51" customFormat="1" ht="12.75">
      <c r="A103" s="48">
        <v>102</v>
      </c>
      <c r="B103" s="49">
        <f>IF($D102&gt;0,IF($A103&gt;$G$2,$D102*Parameter!$B$8/Parameter!$B$3,$D102*Parameter!$B$2/Parameter!$B$3),0)</f>
        <v>97.35215117899078</v>
      </c>
      <c r="C103" s="49">
        <f>IF($A102&gt;=$G$3,MIN(IF(AND($A103&gt;$G$2,Parameter!$E$9),Parameter!$E$7-Zahlungsplan!$B103,Parameter!$B$5-$B103),$D102),0)</f>
        <v>199.85784882100927</v>
      </c>
      <c r="D103" s="49">
        <f t="shared" si="3"/>
        <v>20295.331873071787</v>
      </c>
      <c r="E103" s="50">
        <f t="shared" si="2"/>
        <v>297.21000000000004</v>
      </c>
      <c r="F103" s="60">
        <f>IF($E103&gt;0,IF(Parameter!$B$10="vorschüssig",_XLL.EDATUM(Parameter!$B$9,(A103-1)*12/Parameter!$B$3),_XLL.EDATUM(Parameter!$B$9,A103*12/Parameter!$B$3)),"")</f>
        <v>40449</v>
      </c>
      <c r="H103" s="52"/>
    </row>
    <row r="104" spans="1:8" s="51" customFormat="1" ht="12.75">
      <c r="A104" s="48">
        <v>103</v>
      </c>
      <c r="B104" s="49">
        <f>IF($D103&gt;0,IF($A104&gt;$G$2,$D103*Parameter!$B$8/Parameter!$B$3,$D103*Parameter!$B$2/Parameter!$B$3),0)</f>
        <v>96.402826397091</v>
      </c>
      <c r="C104" s="49">
        <f>IF($A103&gt;=$G$3,MIN(IF(AND($A104&gt;$G$2,Parameter!$E$9),Parameter!$E$7-Zahlungsplan!$B104,Parameter!$B$5-$B104),$D103),0)</f>
        <v>200.80717360290902</v>
      </c>
      <c r="D104" s="49">
        <f t="shared" si="3"/>
        <v>20094.52469946888</v>
      </c>
      <c r="E104" s="50">
        <f t="shared" si="2"/>
        <v>297.21000000000004</v>
      </c>
      <c r="F104" s="60">
        <f>IF($E104&gt;0,IF(Parameter!$B$10="vorschüssig",_XLL.EDATUM(Parameter!$B$9,(A104-1)*12/Parameter!$B$3),_XLL.EDATUM(Parameter!$B$9,A104*12/Parameter!$B$3)),"")</f>
        <v>40479</v>
      </c>
      <c r="H104" s="52"/>
    </row>
    <row r="105" spans="1:8" s="51" customFormat="1" ht="12.75">
      <c r="A105" s="48">
        <v>104</v>
      </c>
      <c r="B105" s="49">
        <f>IF($D104&gt;0,IF($A105&gt;$G$2,$D104*Parameter!$B$8/Parameter!$B$3,$D104*Parameter!$B$2/Parameter!$B$3),0)</f>
        <v>95.44899232247718</v>
      </c>
      <c r="C105" s="49">
        <f>IF($A104&gt;=$G$3,MIN(IF(AND($A105&gt;$G$2,Parameter!$E$9),Parameter!$E$7-Zahlungsplan!$B105,Parameter!$B$5-$B105),$D104),0)</f>
        <v>201.76100767752285</v>
      </c>
      <c r="D105" s="49">
        <f t="shared" si="3"/>
        <v>19892.763691791355</v>
      </c>
      <c r="E105" s="50">
        <f t="shared" si="2"/>
        <v>297.21000000000004</v>
      </c>
      <c r="F105" s="60">
        <f>IF($E105&gt;0,IF(Parameter!$B$10="vorschüssig",_XLL.EDATUM(Parameter!$B$9,(A105-1)*12/Parameter!$B$3),_XLL.EDATUM(Parameter!$B$9,A105*12/Parameter!$B$3)),"")</f>
        <v>40510</v>
      </c>
      <c r="H105" s="52"/>
    </row>
    <row r="106" spans="1:8" s="51" customFormat="1" ht="12.75">
      <c r="A106" s="48">
        <v>105</v>
      </c>
      <c r="B106" s="49">
        <f>IF($D105&gt;0,IF($A106&gt;$G$2,$D105*Parameter!$B$8/Parameter!$B$3,$D105*Parameter!$B$2/Parameter!$B$3),0)</f>
        <v>94.49062753600894</v>
      </c>
      <c r="C106" s="49">
        <f>IF($A105&gt;=$G$3,MIN(IF(AND($A106&gt;$G$2,Parameter!$E$9),Parameter!$E$7-Zahlungsplan!$B106,Parameter!$B$5-$B106),$D105),0)</f>
        <v>202.71937246399108</v>
      </c>
      <c r="D106" s="49">
        <f t="shared" si="3"/>
        <v>19690.044319327364</v>
      </c>
      <c r="E106" s="50">
        <f t="shared" si="2"/>
        <v>297.21000000000004</v>
      </c>
      <c r="F106" s="60">
        <f>IF($E106&gt;0,IF(Parameter!$B$10="vorschüssig",_XLL.EDATUM(Parameter!$B$9,(A106-1)*12/Parameter!$B$3),_XLL.EDATUM(Parameter!$B$9,A106*12/Parameter!$B$3)),"")</f>
        <v>40540</v>
      </c>
      <c r="H106" s="52"/>
    </row>
    <row r="107" spans="1:8" s="51" customFormat="1" ht="12.75">
      <c r="A107" s="48">
        <v>106</v>
      </c>
      <c r="B107" s="49">
        <f>IF($D106&gt;0,IF($A107&gt;$G$2,$D106*Parameter!$B$8/Parameter!$B$3,$D106*Parameter!$B$2/Parameter!$B$3),0)</f>
        <v>93.52771051680499</v>
      </c>
      <c r="C107" s="49">
        <f>IF($A106&gt;=$G$3,MIN(IF(AND($A107&gt;$G$2,Parameter!$E$9),Parameter!$E$7-Zahlungsplan!$B107,Parameter!$B$5-$B107),$D106),0)</f>
        <v>203.68228948319506</v>
      </c>
      <c r="D107" s="49">
        <f t="shared" si="3"/>
        <v>19486.362029844167</v>
      </c>
      <c r="E107" s="50">
        <f t="shared" si="2"/>
        <v>297.21000000000004</v>
      </c>
      <c r="F107" s="60">
        <f>IF($E107&gt;0,IF(Parameter!$B$10="vorschüssig",_XLL.EDATUM(Parameter!$B$9,(A107-1)*12/Parameter!$B$3),_XLL.EDATUM(Parameter!$B$9,A107*12/Parameter!$B$3)),"")</f>
        <v>40571</v>
      </c>
      <c r="H107" s="52"/>
    </row>
    <row r="108" spans="1:8" s="51" customFormat="1" ht="12.75">
      <c r="A108" s="48">
        <v>107</v>
      </c>
      <c r="B108" s="49">
        <f>IF($D107&gt;0,IF($A108&gt;$G$2,$D107*Parameter!$B$8/Parameter!$B$3,$D107*Parameter!$B$2/Parameter!$B$3),0)</f>
        <v>92.56021964175979</v>
      </c>
      <c r="C108" s="49">
        <f>IF($A107&gt;=$G$3,MIN(IF(AND($A108&gt;$G$2,Parameter!$E$9),Parameter!$E$7-Zahlungsplan!$B108,Parameter!$B$5-$B108),$D107),0)</f>
        <v>204.64978035824026</v>
      </c>
      <c r="D108" s="49">
        <f t="shared" si="3"/>
        <v>19281.71224948593</v>
      </c>
      <c r="E108" s="50">
        <f t="shared" si="2"/>
        <v>297.21000000000004</v>
      </c>
      <c r="F108" s="60">
        <f>IF($E108&gt;0,IF(Parameter!$B$10="vorschüssig",_XLL.EDATUM(Parameter!$B$9,(A108-1)*12/Parameter!$B$3),_XLL.EDATUM(Parameter!$B$9,A108*12/Parameter!$B$3)),"")</f>
        <v>40602</v>
      </c>
      <c r="H108" s="52"/>
    </row>
    <row r="109" spans="1:8" s="51" customFormat="1" ht="12.75">
      <c r="A109" s="48">
        <v>108</v>
      </c>
      <c r="B109" s="49">
        <f>IF($D108&gt;0,IF($A109&gt;$G$2,$D108*Parameter!$B$8/Parameter!$B$3,$D108*Parameter!$B$2/Parameter!$B$3),0)</f>
        <v>91.58813318505817</v>
      </c>
      <c r="C109" s="49">
        <f>IF($A108&gt;=$G$3,MIN(IF(AND($A109&gt;$G$2,Parameter!$E$9),Parameter!$E$7-Zahlungsplan!$B109,Parameter!$B$5-$B109),$D108),0)</f>
        <v>205.62186681494188</v>
      </c>
      <c r="D109" s="49">
        <f t="shared" si="3"/>
        <v>19076.090382670987</v>
      </c>
      <c r="E109" s="50">
        <f t="shared" si="2"/>
        <v>297.21000000000004</v>
      </c>
      <c r="F109" s="60">
        <f>IF($E109&gt;0,IF(Parameter!$B$10="vorschüssig",_XLL.EDATUM(Parameter!$B$9,(A109-1)*12/Parameter!$B$3),_XLL.EDATUM(Parameter!$B$9,A109*12/Parameter!$B$3)),"")</f>
        <v>40630</v>
      </c>
      <c r="H109" s="52"/>
    </row>
    <row r="110" spans="1:8" s="51" customFormat="1" ht="12.75">
      <c r="A110" s="48">
        <v>109</v>
      </c>
      <c r="B110" s="49">
        <f>IF($D109&gt;0,IF($A110&gt;$G$2,$D109*Parameter!$B$8/Parameter!$B$3,$D109*Parameter!$B$2/Parameter!$B$3),0)</f>
        <v>55.63859694945705</v>
      </c>
      <c r="C110" s="49">
        <f>IF($A109&gt;=$G$3,MIN(IF(AND($A110&gt;$G$2,Parameter!$E$9),Parameter!$E$7-Zahlungsplan!$B110,Parameter!$B$5-$B110),$D109),0)</f>
        <v>241.57140305054298</v>
      </c>
      <c r="D110" s="49">
        <f t="shared" si="3"/>
        <v>18834.518979620443</v>
      </c>
      <c r="E110" s="50">
        <f t="shared" si="2"/>
        <v>297.21000000000004</v>
      </c>
      <c r="F110" s="60">
        <f>IF($E110&gt;0,IF(Parameter!$B$10="vorschüssig",_XLL.EDATUM(Parameter!$B$9,(A110-1)*12/Parameter!$B$3),_XLL.EDATUM(Parameter!$B$9,A110*12/Parameter!$B$3)),"")</f>
        <v>40661</v>
      </c>
      <c r="H110" s="52"/>
    </row>
    <row r="111" spans="1:8" s="51" customFormat="1" ht="12.75">
      <c r="A111" s="48">
        <v>110</v>
      </c>
      <c r="B111" s="49">
        <f>IF($D110&gt;0,IF($A111&gt;$G$2,$D110*Parameter!$B$8/Parameter!$B$3,$D110*Parameter!$B$2/Parameter!$B$3),0)</f>
        <v>54.93401369055963</v>
      </c>
      <c r="C111" s="49">
        <f>IF($A110&gt;=$G$3,MIN(IF(AND($A111&gt;$G$2,Parameter!$E$9),Parameter!$E$7-Zahlungsplan!$B111,Parameter!$B$5-$B111),$D110),0)</f>
        <v>242.2759863094404</v>
      </c>
      <c r="D111" s="49">
        <f t="shared" si="3"/>
        <v>18592.242993311003</v>
      </c>
      <c r="E111" s="50">
        <f t="shared" si="2"/>
        <v>297.21000000000004</v>
      </c>
      <c r="F111" s="60">
        <f>IF($E111&gt;0,IF(Parameter!$B$10="vorschüssig",_XLL.EDATUM(Parameter!$B$9,(A111-1)*12/Parameter!$B$3),_XLL.EDATUM(Parameter!$B$9,A111*12/Parameter!$B$3)),"")</f>
        <v>40691</v>
      </c>
      <c r="H111" s="52"/>
    </row>
    <row r="112" spans="1:8" s="51" customFormat="1" ht="12.75">
      <c r="A112" s="48">
        <v>111</v>
      </c>
      <c r="B112" s="49">
        <f>IF($D111&gt;0,IF($A112&gt;$G$2,$D111*Parameter!$B$8/Parameter!$B$3,$D111*Parameter!$B$2/Parameter!$B$3),0)</f>
        <v>54.2273753971571</v>
      </c>
      <c r="C112" s="49">
        <f>IF($A111&gt;=$G$3,MIN(IF(AND($A112&gt;$G$2,Parameter!$E$9),Parameter!$E$7-Zahlungsplan!$B112,Parameter!$B$5-$B112),$D111),0)</f>
        <v>242.98262460284295</v>
      </c>
      <c r="D112" s="49">
        <f t="shared" si="3"/>
        <v>18349.26036870816</v>
      </c>
      <c r="E112" s="50">
        <f t="shared" si="2"/>
        <v>297.21000000000004</v>
      </c>
      <c r="F112" s="60">
        <f>IF($E112&gt;0,IF(Parameter!$B$10="vorschüssig",_XLL.EDATUM(Parameter!$B$9,(A112-1)*12/Parameter!$B$3),_XLL.EDATUM(Parameter!$B$9,A112*12/Parameter!$B$3)),"")</f>
        <v>40722</v>
      </c>
      <c r="H112" s="52"/>
    </row>
    <row r="113" spans="1:8" s="51" customFormat="1" ht="12.75">
      <c r="A113" s="48">
        <v>112</v>
      </c>
      <c r="B113" s="49">
        <f>IF($D112&gt;0,IF($A113&gt;$G$2,$D112*Parameter!$B$8/Parameter!$B$3,$D112*Parameter!$B$2/Parameter!$B$3),0)</f>
        <v>53.51867607539881</v>
      </c>
      <c r="C113" s="49">
        <f>IF($A112&gt;=$G$3,MIN(IF(AND($A113&gt;$G$2,Parameter!$E$9),Parameter!$E$7-Zahlungsplan!$B113,Parameter!$B$5-$B113),$D112),0)</f>
        <v>243.69132392460122</v>
      </c>
      <c r="D113" s="49">
        <f t="shared" si="3"/>
        <v>18105.56904478356</v>
      </c>
      <c r="E113" s="50">
        <f t="shared" si="2"/>
        <v>297.21000000000004</v>
      </c>
      <c r="F113" s="60">
        <f>IF($E113&gt;0,IF(Parameter!$B$10="vorschüssig",_XLL.EDATUM(Parameter!$B$9,(A113-1)*12/Parameter!$B$3),_XLL.EDATUM(Parameter!$B$9,A113*12/Parameter!$B$3)),"")</f>
        <v>40752</v>
      </c>
      <c r="H113" s="52"/>
    </row>
    <row r="114" spans="1:8" s="51" customFormat="1" ht="12.75">
      <c r="A114" s="48">
        <v>113</v>
      </c>
      <c r="B114" s="49">
        <f>IF($D113&gt;0,IF($A114&gt;$G$2,$D113*Parameter!$B$8/Parameter!$B$3,$D113*Parameter!$B$2/Parameter!$B$3),0)</f>
        <v>52.80790971395205</v>
      </c>
      <c r="C114" s="49">
        <f>IF($A113&gt;=$G$3,MIN(IF(AND($A114&gt;$G$2,Parameter!$E$9),Parameter!$E$7-Zahlungsplan!$B114,Parameter!$B$5-$B114),$D113),0)</f>
        <v>244.40209028604798</v>
      </c>
      <c r="D114" s="49">
        <f t="shared" si="3"/>
        <v>17861.166954497512</v>
      </c>
      <c r="E114" s="50">
        <f t="shared" si="2"/>
        <v>297.21000000000004</v>
      </c>
      <c r="F114" s="60">
        <f>IF($E114&gt;0,IF(Parameter!$B$10="vorschüssig",_XLL.EDATUM(Parameter!$B$9,(A114-1)*12/Parameter!$B$3),_XLL.EDATUM(Parameter!$B$9,A114*12/Parameter!$B$3)),"")</f>
        <v>40783</v>
      </c>
      <c r="H114" s="52"/>
    </row>
    <row r="115" spans="1:8" s="51" customFormat="1" ht="12.75">
      <c r="A115" s="48">
        <v>114</v>
      </c>
      <c r="B115" s="49">
        <f>IF($D114&gt;0,IF($A115&gt;$G$2,$D114*Parameter!$B$8/Parameter!$B$3,$D114*Parameter!$B$2/Parameter!$B$3),0)</f>
        <v>52.09507028395108</v>
      </c>
      <c r="C115" s="49">
        <f>IF($A114&gt;=$G$3,MIN(IF(AND($A115&gt;$G$2,Parameter!$E$9),Parameter!$E$7-Zahlungsplan!$B115,Parameter!$B$5-$B115),$D114),0)</f>
        <v>245.11492971604895</v>
      </c>
      <c r="D115" s="49">
        <f t="shared" si="3"/>
        <v>17616.052024781464</v>
      </c>
      <c r="E115" s="50">
        <f t="shared" si="2"/>
        <v>297.21000000000004</v>
      </c>
      <c r="F115" s="60">
        <f>IF($E115&gt;0,IF(Parameter!$B$10="vorschüssig",_XLL.EDATUM(Parameter!$B$9,(A115-1)*12/Parameter!$B$3),_XLL.EDATUM(Parameter!$B$9,A115*12/Parameter!$B$3)),"")</f>
        <v>40814</v>
      </c>
      <c r="H115" s="52"/>
    </row>
    <row r="116" spans="1:8" s="51" customFormat="1" ht="12.75">
      <c r="A116" s="48">
        <v>115</v>
      </c>
      <c r="B116" s="49">
        <f>IF($D115&gt;0,IF($A116&gt;$G$2,$D115*Parameter!$B$8/Parameter!$B$3,$D115*Parameter!$B$2/Parameter!$B$3),0)</f>
        <v>51.38015173894595</v>
      </c>
      <c r="C116" s="49">
        <f>IF($A115&gt;=$G$3,MIN(IF(AND($A116&gt;$G$2,Parameter!$E$9),Parameter!$E$7-Zahlungsplan!$B116,Parameter!$B$5-$B116),$D115),0)</f>
        <v>245.82984826105408</v>
      </c>
      <c r="D116" s="49">
        <f t="shared" si="3"/>
        <v>17370.22217652041</v>
      </c>
      <c r="E116" s="50">
        <f t="shared" si="2"/>
        <v>297.21000000000004</v>
      </c>
      <c r="F116" s="60">
        <f>IF($E116&gt;0,IF(Parameter!$B$10="vorschüssig",_XLL.EDATUM(Parameter!$B$9,(A116-1)*12/Parameter!$B$3),_XLL.EDATUM(Parameter!$B$9,A116*12/Parameter!$B$3)),"")</f>
        <v>40844</v>
      </c>
      <c r="H116" s="52"/>
    </row>
    <row r="117" spans="1:8" s="51" customFormat="1" ht="12.75">
      <c r="A117" s="48">
        <v>116</v>
      </c>
      <c r="B117" s="49">
        <f>IF($D116&gt;0,IF($A117&gt;$G$2,$D116*Parameter!$B$8/Parameter!$B$3,$D116*Parameter!$B$2/Parameter!$B$3),0)</f>
        <v>50.663148014851195</v>
      </c>
      <c r="C117" s="49">
        <f>IF($A116&gt;=$G$3,MIN(IF(AND($A117&gt;$G$2,Parameter!$E$9),Parameter!$E$7-Zahlungsplan!$B117,Parameter!$B$5-$B117),$D116),0)</f>
        <v>246.54685198514883</v>
      </c>
      <c r="D117" s="49">
        <f t="shared" si="3"/>
        <v>17123.67532453526</v>
      </c>
      <c r="E117" s="50">
        <f t="shared" si="2"/>
        <v>297.21000000000004</v>
      </c>
      <c r="F117" s="60">
        <f>IF($E117&gt;0,IF(Parameter!$B$10="vorschüssig",_XLL.EDATUM(Parameter!$B$9,(A117-1)*12/Parameter!$B$3),_XLL.EDATUM(Parameter!$B$9,A117*12/Parameter!$B$3)),"")</f>
        <v>40875</v>
      </c>
      <c r="H117" s="52"/>
    </row>
    <row r="118" spans="1:8" s="51" customFormat="1" ht="12.75">
      <c r="A118" s="48">
        <v>117</v>
      </c>
      <c r="B118" s="49">
        <f>IF($D117&gt;0,IF($A118&gt;$G$2,$D117*Parameter!$B$8/Parameter!$B$3,$D117*Parameter!$B$2/Parameter!$B$3),0)</f>
        <v>49.94405302989451</v>
      </c>
      <c r="C118" s="49">
        <f>IF($A117&gt;=$G$3,MIN(IF(AND($A118&gt;$G$2,Parameter!$E$9),Parameter!$E$7-Zahlungsplan!$B118,Parameter!$B$5-$B118),$D117),0)</f>
        <v>247.26594697010552</v>
      </c>
      <c r="D118" s="49">
        <f t="shared" si="3"/>
        <v>16876.409377565153</v>
      </c>
      <c r="E118" s="50">
        <f t="shared" si="2"/>
        <v>297.21000000000004</v>
      </c>
      <c r="F118" s="60">
        <f>IF($E118&gt;0,IF(Parameter!$B$10="vorschüssig",_XLL.EDATUM(Parameter!$B$9,(A118-1)*12/Parameter!$B$3),_XLL.EDATUM(Parameter!$B$9,A118*12/Parameter!$B$3)),"")</f>
        <v>40905</v>
      </c>
      <c r="H118" s="52"/>
    </row>
    <row r="119" spans="1:8" s="51" customFormat="1" ht="12.75">
      <c r="A119" s="48">
        <v>118</v>
      </c>
      <c r="B119" s="49">
        <f>IF($D118&gt;0,IF($A119&gt;$G$2,$D118*Parameter!$B$8/Parameter!$B$3,$D118*Parameter!$B$2/Parameter!$B$3),0)</f>
        <v>49.222860684565035</v>
      </c>
      <c r="C119" s="49">
        <f>IF($A118&gt;=$G$3,MIN(IF(AND($A119&gt;$G$2,Parameter!$E$9),Parameter!$E$7-Zahlungsplan!$B119,Parameter!$B$5-$B119),$D118),0)</f>
        <v>247.987139315435</v>
      </c>
      <c r="D119" s="49">
        <f t="shared" si="3"/>
        <v>16628.422238249717</v>
      </c>
      <c r="E119" s="50">
        <f t="shared" si="2"/>
        <v>297.21000000000004</v>
      </c>
      <c r="F119" s="60">
        <f>IF($E119&gt;0,IF(Parameter!$B$10="vorschüssig",_XLL.EDATUM(Parameter!$B$9,(A119-1)*12/Parameter!$B$3),_XLL.EDATUM(Parameter!$B$9,A119*12/Parameter!$B$3)),"")</f>
        <v>40936</v>
      </c>
      <c r="H119" s="52"/>
    </row>
    <row r="120" spans="1:8" s="51" customFormat="1" ht="12.75">
      <c r="A120" s="48">
        <v>119</v>
      </c>
      <c r="B120" s="49">
        <f>IF($D119&gt;0,IF($A120&gt;$G$2,$D119*Parameter!$B$8/Parameter!$B$3,$D119*Parameter!$B$2/Parameter!$B$3),0)</f>
        <v>48.49956486156168</v>
      </c>
      <c r="C120" s="49">
        <f>IF($A119&gt;=$G$3,MIN(IF(AND($A120&gt;$G$2,Parameter!$E$9),Parameter!$E$7-Zahlungsplan!$B120,Parameter!$B$5-$B120),$D119),0)</f>
        <v>248.71043513843836</v>
      </c>
      <c r="D120" s="49">
        <f t="shared" si="3"/>
        <v>16379.711803111279</v>
      </c>
      <c r="E120" s="50">
        <f t="shared" si="2"/>
        <v>297.21000000000004</v>
      </c>
      <c r="F120" s="60">
        <f>IF($E120&gt;0,IF(Parameter!$B$10="vorschüssig",_XLL.EDATUM(Parameter!$B$9,(A120-1)*12/Parameter!$B$3),_XLL.EDATUM(Parameter!$B$9,A120*12/Parameter!$B$3)),"")</f>
        <v>40967</v>
      </c>
      <c r="H120" s="52"/>
    </row>
    <row r="121" spans="1:8" s="51" customFormat="1" ht="12.75">
      <c r="A121" s="48">
        <v>120</v>
      </c>
      <c r="B121" s="49">
        <f>IF($D120&gt;0,IF($A121&gt;$G$2,$D120*Parameter!$B$8/Parameter!$B$3,$D120*Parameter!$B$2/Parameter!$B$3),0)</f>
        <v>47.77415942574123</v>
      </c>
      <c r="C121" s="49">
        <f>IF($A120&gt;=$G$3,MIN(IF(AND($A121&gt;$G$2,Parameter!$E$9),Parameter!$E$7-Zahlungsplan!$B121,Parameter!$B$5-$B121),$D120),0)</f>
        <v>249.4358405742588</v>
      </c>
      <c r="D121" s="49">
        <f t="shared" si="3"/>
        <v>16130.27596253702</v>
      </c>
      <c r="E121" s="50">
        <f t="shared" si="2"/>
        <v>297.21000000000004</v>
      </c>
      <c r="F121" s="60">
        <f>IF($E121&gt;0,IF(Parameter!$B$10="vorschüssig",_XLL.EDATUM(Parameter!$B$9,(A121-1)*12/Parameter!$B$3),_XLL.EDATUM(Parameter!$B$9,A121*12/Parameter!$B$3)),"")</f>
        <v>40996</v>
      </c>
      <c r="H121" s="52"/>
    </row>
    <row r="122" spans="1:8" s="46" customFormat="1" ht="12.75">
      <c r="A122" s="43">
        <v>121</v>
      </c>
      <c r="B122" s="44">
        <f>IF($D121&gt;0,IF($A122&gt;$G$2,$D121*Parameter!$B$8/Parameter!$B$3,$D121*Parameter!$B$2/Parameter!$B$3),0)</f>
        <v>47.04663822406631</v>
      </c>
      <c r="C122" s="44">
        <f>IF($A121&gt;=$G$3,MIN(IF(AND($A122&gt;$G$2,Parameter!$E$9),Parameter!$E$7-Zahlungsplan!$B122,Parameter!$B$5-$B122),$D121),0)</f>
        <v>250.16336177593374</v>
      </c>
      <c r="D122" s="44">
        <f t="shared" si="3"/>
        <v>15880.112600761086</v>
      </c>
      <c r="E122" s="45">
        <f t="shared" si="2"/>
        <v>297.21000000000004</v>
      </c>
      <c r="F122" s="59">
        <f>IF($E122&gt;0,IF(Parameter!$B$10="vorschüssig",_XLL.EDATUM(Parameter!$B$9,(A122-1)*12/Parameter!$B$3),_XLL.EDATUM(Parameter!$B$9,A122*12/Parameter!$B$3)),"")</f>
        <v>41027</v>
      </c>
      <c r="H122" s="47"/>
    </row>
    <row r="123" spans="1:8" s="46" customFormat="1" ht="12.75">
      <c r="A123" s="43">
        <v>122</v>
      </c>
      <c r="B123" s="44">
        <f>IF($D122&gt;0,IF($A123&gt;$G$2,$D122*Parameter!$B$8/Parameter!$B$3,$D122*Parameter!$B$2/Parameter!$B$3),0)</f>
        <v>46.316995085553174</v>
      </c>
      <c r="C123" s="44">
        <f>IF($A122&gt;=$G$3,MIN(IF(AND($A123&gt;$G$2,Parameter!$E$9),Parameter!$E$7-Zahlungsplan!$B123,Parameter!$B$5-$B123),$D122),0)</f>
        <v>250.89300491444686</v>
      </c>
      <c r="D123" s="44">
        <f t="shared" si="3"/>
        <v>15629.219595846638</v>
      </c>
      <c r="E123" s="45">
        <f t="shared" si="2"/>
        <v>297.21000000000004</v>
      </c>
      <c r="F123" s="59">
        <f>IF($E123&gt;0,IF(Parameter!$B$10="vorschüssig",_XLL.EDATUM(Parameter!$B$9,(A123-1)*12/Parameter!$B$3),_XLL.EDATUM(Parameter!$B$9,A123*12/Parameter!$B$3)),"")</f>
        <v>41057</v>
      </c>
      <c r="H123" s="47"/>
    </row>
    <row r="124" spans="1:8" s="46" customFormat="1" ht="12.75">
      <c r="A124" s="43">
        <v>123</v>
      </c>
      <c r="B124" s="44">
        <f>IF($D123&gt;0,IF($A124&gt;$G$2,$D123*Parameter!$B$8/Parameter!$B$3,$D123*Parameter!$B$2/Parameter!$B$3),0)</f>
        <v>45.585223821219365</v>
      </c>
      <c r="C124" s="44">
        <f>IF($A123&gt;=$G$3,MIN(IF(AND($A124&gt;$G$2,Parameter!$E$9),Parameter!$E$7-Zahlungsplan!$B124,Parameter!$B$5-$B124),$D123),0)</f>
        <v>251.62477617878068</v>
      </c>
      <c r="D124" s="44">
        <f t="shared" si="3"/>
        <v>15377.594819667858</v>
      </c>
      <c r="E124" s="45">
        <f t="shared" si="2"/>
        <v>297.21000000000004</v>
      </c>
      <c r="F124" s="59">
        <f>IF($E124&gt;0,IF(Parameter!$B$10="vorschüssig",_XLL.EDATUM(Parameter!$B$9,(A124-1)*12/Parameter!$B$3),_XLL.EDATUM(Parameter!$B$9,A124*12/Parameter!$B$3)),"")</f>
        <v>41088</v>
      </c>
      <c r="H124" s="47"/>
    </row>
    <row r="125" spans="1:8" s="46" customFormat="1" ht="12.75">
      <c r="A125" s="43">
        <v>124</v>
      </c>
      <c r="B125" s="44">
        <f>IF($D124&gt;0,IF($A125&gt;$G$2,$D124*Parameter!$B$8/Parameter!$B$3,$D124*Parameter!$B$2/Parameter!$B$3),0)</f>
        <v>44.85131822403125</v>
      </c>
      <c r="C125" s="44">
        <f>IF($A124&gt;=$G$3,MIN(IF(AND($A125&gt;$G$2,Parameter!$E$9),Parameter!$E$7-Zahlungsplan!$B125,Parameter!$B$5-$B125),$D124),0)</f>
        <v>252.3586817759688</v>
      </c>
      <c r="D125" s="44">
        <f t="shared" si="3"/>
        <v>15125.236137891889</v>
      </c>
      <c r="E125" s="45">
        <f t="shared" si="2"/>
        <v>297.21000000000004</v>
      </c>
      <c r="F125" s="59">
        <f>IF($E125&gt;0,IF(Parameter!$B$10="vorschüssig",_XLL.EDATUM(Parameter!$B$9,(A125-1)*12/Parameter!$B$3),_XLL.EDATUM(Parameter!$B$9,A125*12/Parameter!$B$3)),"")</f>
        <v>41118</v>
      </c>
      <c r="H125" s="47"/>
    </row>
    <row r="126" spans="1:8" s="46" customFormat="1" ht="12.75">
      <c r="A126" s="43">
        <v>125</v>
      </c>
      <c r="B126" s="44">
        <f>IF($D125&gt;0,IF($A126&gt;$G$2,$D125*Parameter!$B$8/Parameter!$B$3,$D125*Parameter!$B$2/Parameter!$B$3),0)</f>
        <v>44.11527206885135</v>
      </c>
      <c r="C126" s="44">
        <f>IF($A125&gt;=$G$3,MIN(IF(AND($A126&gt;$G$2,Parameter!$E$9),Parameter!$E$7-Zahlungsplan!$B126,Parameter!$B$5-$B126),$D125),0)</f>
        <v>253.0947279311487</v>
      </c>
      <c r="D126" s="44">
        <f t="shared" si="3"/>
        <v>14872.14140996074</v>
      </c>
      <c r="E126" s="45">
        <f t="shared" si="2"/>
        <v>297.21000000000004</v>
      </c>
      <c r="F126" s="59">
        <f>IF($E126&gt;0,IF(Parameter!$B$10="vorschüssig",_XLL.EDATUM(Parameter!$B$9,(A126-1)*12/Parameter!$B$3),_XLL.EDATUM(Parameter!$B$9,A126*12/Parameter!$B$3)),"")</f>
        <v>41149</v>
      </c>
      <c r="H126" s="47"/>
    </row>
    <row r="127" spans="1:8" s="46" customFormat="1" ht="12.75">
      <c r="A127" s="43">
        <v>126</v>
      </c>
      <c r="B127" s="44">
        <f>IF($D126&gt;0,IF($A127&gt;$G$2,$D126*Parameter!$B$8/Parameter!$B$3,$D126*Parameter!$B$2/Parameter!$B$3),0)</f>
        <v>43.377079112385495</v>
      </c>
      <c r="C127" s="44">
        <f>IF($A126&gt;=$G$3,MIN(IF(AND($A127&gt;$G$2,Parameter!$E$9),Parameter!$E$7-Zahlungsplan!$B127,Parameter!$B$5-$B127),$D126),0)</f>
        <v>253.83292088761453</v>
      </c>
      <c r="D127" s="44">
        <f t="shared" si="3"/>
        <v>14618.308489073124</v>
      </c>
      <c r="E127" s="45">
        <f t="shared" si="2"/>
        <v>297.21000000000004</v>
      </c>
      <c r="F127" s="59">
        <f>IF($E127&gt;0,IF(Parameter!$B$10="vorschüssig",_XLL.EDATUM(Parameter!$B$9,(A127-1)*12/Parameter!$B$3),_XLL.EDATUM(Parameter!$B$9,A127*12/Parameter!$B$3)),"")</f>
        <v>41180</v>
      </c>
      <c r="H127" s="47"/>
    </row>
    <row r="128" spans="1:8" s="46" customFormat="1" ht="12.75">
      <c r="A128" s="43">
        <v>127</v>
      </c>
      <c r="B128" s="44">
        <f>IF($D127&gt;0,IF($A128&gt;$G$2,$D127*Parameter!$B$8/Parameter!$B$3,$D127*Parameter!$B$2/Parameter!$B$3),0)</f>
        <v>42.63673309312995</v>
      </c>
      <c r="C128" s="44">
        <f>IF($A127&gt;=$G$3,MIN(IF(AND($A128&gt;$G$2,Parameter!$E$9),Parameter!$E$7-Zahlungsplan!$B128,Parameter!$B$5-$B128),$D127),0)</f>
        <v>254.5732669068701</v>
      </c>
      <c r="D128" s="44">
        <f t="shared" si="3"/>
        <v>14363.735222166255</v>
      </c>
      <c r="E128" s="45">
        <f t="shared" si="2"/>
        <v>297.21000000000004</v>
      </c>
      <c r="F128" s="59">
        <f>IF($E128&gt;0,IF(Parameter!$B$10="vorschüssig",_XLL.EDATUM(Parameter!$B$9,(A128-1)*12/Parameter!$B$3),_XLL.EDATUM(Parameter!$B$9,A128*12/Parameter!$B$3)),"")</f>
        <v>41210</v>
      </c>
      <c r="H128" s="47"/>
    </row>
    <row r="129" spans="1:8" s="46" customFormat="1" ht="12.75">
      <c r="A129" s="43">
        <v>128</v>
      </c>
      <c r="B129" s="44">
        <f>IF($D128&gt;0,IF($A129&gt;$G$2,$D128*Parameter!$B$8/Parameter!$B$3,$D128*Parameter!$B$2/Parameter!$B$3),0)</f>
        <v>41.894227731318246</v>
      </c>
      <c r="C129" s="44">
        <f>IF($A128&gt;=$G$3,MIN(IF(AND($A129&gt;$G$2,Parameter!$E$9),Parameter!$E$7-Zahlungsplan!$B129,Parameter!$B$5-$B129),$D128),0)</f>
        <v>255.3157722686818</v>
      </c>
      <c r="D129" s="44">
        <f t="shared" si="3"/>
        <v>14108.419449897574</v>
      </c>
      <c r="E129" s="45">
        <f t="shared" si="2"/>
        <v>297.21000000000004</v>
      </c>
      <c r="F129" s="59">
        <f>IF($E129&gt;0,IF(Parameter!$B$10="vorschüssig",_XLL.EDATUM(Parameter!$B$9,(A129-1)*12/Parameter!$B$3),_XLL.EDATUM(Parameter!$B$9,A129*12/Parameter!$B$3)),"")</f>
        <v>41241</v>
      </c>
      <c r="H129" s="47"/>
    </row>
    <row r="130" spans="1:8" s="46" customFormat="1" ht="12.75">
      <c r="A130" s="43">
        <v>129</v>
      </c>
      <c r="B130" s="44">
        <f>IF($D129&gt;0,IF($A130&gt;$G$2,$D129*Parameter!$B$8/Parameter!$B$3,$D129*Parameter!$B$2/Parameter!$B$3),0)</f>
        <v>41.14955672886793</v>
      </c>
      <c r="C130" s="44">
        <f>IF($A129&gt;=$G$3,MIN(IF(AND($A130&gt;$G$2,Parameter!$E$9),Parameter!$E$7-Zahlungsplan!$B130,Parameter!$B$5-$B130),$D129),0)</f>
        <v>256.0604432711321</v>
      </c>
      <c r="D130" s="44">
        <f t="shared" si="3"/>
        <v>13852.359006626442</v>
      </c>
      <c r="E130" s="45">
        <f t="shared" si="2"/>
        <v>297.21000000000004</v>
      </c>
      <c r="F130" s="59">
        <f>IF($E130&gt;0,IF(Parameter!$B$10="vorschüssig",_XLL.EDATUM(Parameter!$B$9,(A130-1)*12/Parameter!$B$3),_XLL.EDATUM(Parameter!$B$9,A130*12/Parameter!$B$3)),"")</f>
        <v>41271</v>
      </c>
      <c r="H130" s="47"/>
    </row>
    <row r="131" spans="1:8" s="46" customFormat="1" ht="12.75">
      <c r="A131" s="43">
        <v>130</v>
      </c>
      <c r="B131" s="44">
        <f>IF($D130&gt;0,IF($A131&gt;$G$2,$D130*Parameter!$B$8/Parameter!$B$3,$D130*Parameter!$B$2/Parameter!$B$3),0)</f>
        <v>40.40271376932713</v>
      </c>
      <c r="C131" s="44">
        <f>IF($A130&gt;=$G$3,MIN(IF(AND($A131&gt;$G$2,Parameter!$E$9),Parameter!$E$7-Zahlungsplan!$B131,Parameter!$B$5-$B131),$D130),0)</f>
        <v>256.8072862306729</v>
      </c>
      <c r="D131" s="44">
        <f t="shared" si="3"/>
        <v>13595.55172039577</v>
      </c>
      <c r="E131" s="45">
        <f aca="true" t="shared" si="4" ref="E131:E194">$B131+$C131</f>
        <v>297.21000000000004</v>
      </c>
      <c r="F131" s="59">
        <f>IF($E131&gt;0,IF(Parameter!$B$10="vorschüssig",_XLL.EDATUM(Parameter!$B$9,(A131-1)*12/Parameter!$B$3),_XLL.EDATUM(Parameter!$B$9,A131*12/Parameter!$B$3)),"")</f>
        <v>41302</v>
      </c>
      <c r="H131" s="47"/>
    </row>
    <row r="132" spans="1:8" s="46" customFormat="1" ht="12.75">
      <c r="A132" s="43">
        <v>131</v>
      </c>
      <c r="B132" s="44">
        <f>IF($D131&gt;0,IF($A132&gt;$G$2,$D131*Parameter!$B$8/Parameter!$B$3,$D131*Parameter!$B$2/Parameter!$B$3),0)</f>
        <v>39.653692517821</v>
      </c>
      <c r="C132" s="44">
        <f>IF($A131&gt;=$G$3,MIN(IF(AND($A132&gt;$G$2,Parameter!$E$9),Parameter!$E$7-Zahlungsplan!$B132,Parameter!$B$5-$B132),$D131),0)</f>
        <v>257.556307482179</v>
      </c>
      <c r="D132" s="44">
        <f aca="true" t="shared" si="5" ref="D132:D195">$D131-$C132</f>
        <v>13337.995412913591</v>
      </c>
      <c r="E132" s="45">
        <f t="shared" si="4"/>
        <v>297.21000000000004</v>
      </c>
      <c r="F132" s="59">
        <f>IF($E132&gt;0,IF(Parameter!$B$10="vorschüssig",_XLL.EDATUM(Parameter!$B$9,(A132-1)*12/Parameter!$B$3),_XLL.EDATUM(Parameter!$B$9,A132*12/Parameter!$B$3)),"")</f>
        <v>41333</v>
      </c>
      <c r="H132" s="47"/>
    </row>
    <row r="133" spans="1:8" s="46" customFormat="1" ht="12.75">
      <c r="A133" s="43">
        <v>132</v>
      </c>
      <c r="B133" s="44">
        <f>IF($D132&gt;0,IF($A133&gt;$G$2,$D132*Parameter!$B$8/Parameter!$B$3,$D132*Parameter!$B$2/Parameter!$B$3),0)</f>
        <v>38.902486620997976</v>
      </c>
      <c r="C133" s="44">
        <f>IF($A132&gt;=$G$3,MIN(IF(AND($A133&gt;$G$2,Parameter!$E$9),Parameter!$E$7-Zahlungsplan!$B133,Parameter!$B$5-$B133),$D132),0)</f>
        <v>258.30751337900205</v>
      </c>
      <c r="D133" s="44">
        <f t="shared" si="5"/>
        <v>13079.687899534589</v>
      </c>
      <c r="E133" s="45">
        <f t="shared" si="4"/>
        <v>297.21000000000004</v>
      </c>
      <c r="F133" s="59">
        <f>IF($E133&gt;0,IF(Parameter!$B$10="vorschüssig",_XLL.EDATUM(Parameter!$B$9,(A133-1)*12/Parameter!$B$3),_XLL.EDATUM(Parameter!$B$9,A133*12/Parameter!$B$3)),"")</f>
        <v>41361</v>
      </c>
      <c r="H133" s="47"/>
    </row>
    <row r="134" spans="1:8" s="46" customFormat="1" ht="12.75">
      <c r="A134" s="43">
        <v>133</v>
      </c>
      <c r="B134" s="44">
        <f>IF($D133&gt;0,IF($A134&gt;$G$2,$D133*Parameter!$B$8/Parameter!$B$3,$D133*Parameter!$B$2/Parameter!$B$3),0)</f>
        <v>38.149089706975886</v>
      </c>
      <c r="C134" s="44">
        <f>IF($A133&gt;=$G$3,MIN(IF(AND($A134&gt;$G$2,Parameter!$E$9),Parameter!$E$7-Zahlungsplan!$B134,Parameter!$B$5-$B134),$D133),0)</f>
        <v>259.06091029302416</v>
      </c>
      <c r="D134" s="44">
        <f t="shared" si="5"/>
        <v>12820.626989241564</v>
      </c>
      <c r="E134" s="45">
        <f t="shared" si="4"/>
        <v>297.21000000000004</v>
      </c>
      <c r="F134" s="59">
        <f>IF($E134&gt;0,IF(Parameter!$B$10="vorschüssig",_XLL.EDATUM(Parameter!$B$9,(A134-1)*12/Parameter!$B$3),_XLL.EDATUM(Parameter!$B$9,A134*12/Parameter!$B$3)),"")</f>
        <v>41392</v>
      </c>
      <c r="H134" s="47"/>
    </row>
    <row r="135" spans="1:8" s="46" customFormat="1" ht="12.75">
      <c r="A135" s="43">
        <v>134</v>
      </c>
      <c r="B135" s="44">
        <f>IF($D134&gt;0,IF($A135&gt;$G$2,$D134*Parameter!$B$8/Parameter!$B$3,$D134*Parameter!$B$2/Parameter!$B$3),0)</f>
        <v>37.3934953852879</v>
      </c>
      <c r="C135" s="44">
        <f>IF($A134&gt;=$G$3,MIN(IF(AND($A135&gt;$G$2,Parameter!$E$9),Parameter!$E$7-Zahlungsplan!$B135,Parameter!$B$5-$B135),$D134),0)</f>
        <v>259.81650461471213</v>
      </c>
      <c r="D135" s="44">
        <f t="shared" si="5"/>
        <v>12560.810484626852</v>
      </c>
      <c r="E135" s="45">
        <f t="shared" si="4"/>
        <v>297.21000000000004</v>
      </c>
      <c r="F135" s="59">
        <f>IF($E135&gt;0,IF(Parameter!$B$10="vorschüssig",_XLL.EDATUM(Parameter!$B$9,(A135-1)*12/Parameter!$B$3),_XLL.EDATUM(Parameter!$B$9,A135*12/Parameter!$B$3)),"")</f>
        <v>41422</v>
      </c>
      <c r="H135" s="47"/>
    </row>
    <row r="136" spans="1:8" s="46" customFormat="1" ht="12.75">
      <c r="A136" s="43">
        <v>135</v>
      </c>
      <c r="B136" s="44">
        <f>IF($D135&gt;0,IF($A136&gt;$G$2,$D135*Parameter!$B$8/Parameter!$B$3,$D135*Parameter!$B$2/Parameter!$B$3),0)</f>
        <v>36.63569724682832</v>
      </c>
      <c r="C136" s="44">
        <f>IF($A135&gt;=$G$3,MIN(IF(AND($A136&gt;$G$2,Parameter!$E$9),Parameter!$E$7-Zahlungsplan!$B136,Parameter!$B$5-$B136),$D135),0)</f>
        <v>260.5743027531717</v>
      </c>
      <c r="D136" s="44">
        <f t="shared" si="5"/>
        <v>12300.23618187368</v>
      </c>
      <c r="E136" s="45">
        <f t="shared" si="4"/>
        <v>297.21000000000004</v>
      </c>
      <c r="F136" s="59">
        <f>IF($E136&gt;0,IF(Parameter!$B$10="vorschüssig",_XLL.EDATUM(Parameter!$B$9,(A136-1)*12/Parameter!$B$3),_XLL.EDATUM(Parameter!$B$9,A136*12/Parameter!$B$3)),"")</f>
        <v>41453</v>
      </c>
      <c r="H136" s="47"/>
    </row>
    <row r="137" spans="1:8" s="46" customFormat="1" ht="12.75">
      <c r="A137" s="43">
        <v>136</v>
      </c>
      <c r="B137" s="44">
        <f>IF($D136&gt;0,IF($A137&gt;$G$2,$D136*Parameter!$B$8/Parameter!$B$3,$D136*Parameter!$B$2/Parameter!$B$3),0)</f>
        <v>35.87568886379824</v>
      </c>
      <c r="C137" s="44">
        <f>IF($A136&gt;=$G$3,MIN(IF(AND($A137&gt;$G$2,Parameter!$E$9),Parameter!$E$7-Zahlungsplan!$B137,Parameter!$B$5-$B137),$D136),0)</f>
        <v>261.3343111362018</v>
      </c>
      <c r="D137" s="44">
        <f t="shared" si="5"/>
        <v>12038.90187073748</v>
      </c>
      <c r="E137" s="45">
        <f t="shared" si="4"/>
        <v>297.21000000000004</v>
      </c>
      <c r="F137" s="59">
        <f>IF($E137&gt;0,IF(Parameter!$B$10="vorschüssig",_XLL.EDATUM(Parameter!$B$9,(A137-1)*12/Parameter!$B$3),_XLL.EDATUM(Parameter!$B$9,A137*12/Parameter!$B$3)),"")</f>
        <v>41483</v>
      </c>
      <c r="H137" s="47"/>
    </row>
    <row r="138" spans="1:8" s="46" customFormat="1" ht="12.75">
      <c r="A138" s="43">
        <v>137</v>
      </c>
      <c r="B138" s="44">
        <f>IF($D137&gt;0,IF($A138&gt;$G$2,$D137*Parameter!$B$8/Parameter!$B$3,$D137*Parameter!$B$2/Parameter!$B$3),0)</f>
        <v>35.113463789650986</v>
      </c>
      <c r="C138" s="44">
        <f>IF($A137&gt;=$G$3,MIN(IF(AND($A138&gt;$G$2,Parameter!$E$9),Parameter!$E$7-Zahlungsplan!$B138,Parameter!$B$5-$B138),$D137),0)</f>
        <v>262.09653621034903</v>
      </c>
      <c r="D138" s="44">
        <f t="shared" si="5"/>
        <v>11776.805334527131</v>
      </c>
      <c r="E138" s="45">
        <f t="shared" si="4"/>
        <v>297.21000000000004</v>
      </c>
      <c r="F138" s="59">
        <f>IF($E138&gt;0,IF(Parameter!$B$10="vorschüssig",_XLL.EDATUM(Parameter!$B$9,(A138-1)*12/Parameter!$B$3),_XLL.EDATUM(Parameter!$B$9,A138*12/Parameter!$B$3)),"")</f>
        <v>41514</v>
      </c>
      <c r="H138" s="47"/>
    </row>
    <row r="139" spans="1:8" s="46" customFormat="1" ht="12.75">
      <c r="A139" s="43">
        <v>138</v>
      </c>
      <c r="B139" s="44">
        <f>IF($D138&gt;0,IF($A139&gt;$G$2,$D138*Parameter!$B$8/Parameter!$B$3,$D138*Parameter!$B$2/Parameter!$B$3),0)</f>
        <v>34.34901555903747</v>
      </c>
      <c r="C139" s="44">
        <f>IF($A138&gt;=$G$3,MIN(IF(AND($A139&gt;$G$2,Parameter!$E$9),Parameter!$E$7-Zahlungsplan!$B139,Parameter!$B$5-$B139),$D138),0)</f>
        <v>262.86098444096257</v>
      </c>
      <c r="D139" s="44">
        <f t="shared" si="5"/>
        <v>11513.944350086169</v>
      </c>
      <c r="E139" s="45">
        <f t="shared" si="4"/>
        <v>297.21000000000004</v>
      </c>
      <c r="F139" s="59">
        <f>IF($E139&gt;0,IF(Parameter!$B$10="vorschüssig",_XLL.EDATUM(Parameter!$B$9,(A139-1)*12/Parameter!$B$3),_XLL.EDATUM(Parameter!$B$9,A139*12/Parameter!$B$3)),"")</f>
        <v>41545</v>
      </c>
      <c r="H139" s="47"/>
    </row>
    <row r="140" spans="1:8" s="46" customFormat="1" ht="12.75">
      <c r="A140" s="43">
        <v>139</v>
      </c>
      <c r="B140" s="44">
        <f>IF($D139&gt;0,IF($A140&gt;$G$2,$D139*Parameter!$B$8/Parameter!$B$3,$D139*Parameter!$B$2/Parameter!$B$3),0)</f>
        <v>33.58233768775133</v>
      </c>
      <c r="C140" s="44">
        <f>IF($A139&gt;=$G$3,MIN(IF(AND($A140&gt;$G$2,Parameter!$E$9),Parameter!$E$7-Zahlungsplan!$B140,Parameter!$B$5-$B140),$D139),0)</f>
        <v>263.62766231224873</v>
      </c>
      <c r="D140" s="44">
        <f t="shared" si="5"/>
        <v>11250.31668777392</v>
      </c>
      <c r="E140" s="45">
        <f t="shared" si="4"/>
        <v>297.21000000000004</v>
      </c>
      <c r="F140" s="59">
        <f>IF($E140&gt;0,IF(Parameter!$B$10="vorschüssig",_XLL.EDATUM(Parameter!$B$9,(A140-1)*12/Parameter!$B$3),_XLL.EDATUM(Parameter!$B$9,A140*12/Parameter!$B$3)),"")</f>
        <v>41575</v>
      </c>
      <c r="H140" s="47"/>
    </row>
    <row r="141" spans="1:8" s="46" customFormat="1" ht="12.75">
      <c r="A141" s="43">
        <v>140</v>
      </c>
      <c r="B141" s="44">
        <f>IF($D140&gt;0,IF($A141&gt;$G$2,$D140*Parameter!$B$8/Parameter!$B$3,$D140*Parameter!$B$2/Parameter!$B$3),0)</f>
        <v>32.81342367267394</v>
      </c>
      <c r="C141" s="44">
        <f>IF($A140&gt;=$G$3,MIN(IF(AND($A141&gt;$G$2,Parameter!$E$9),Parameter!$E$7-Zahlungsplan!$B141,Parameter!$B$5-$B141),$D140),0)</f>
        <v>264.3965763273261</v>
      </c>
      <c r="D141" s="44">
        <f t="shared" si="5"/>
        <v>10985.920111446594</v>
      </c>
      <c r="E141" s="45">
        <f t="shared" si="4"/>
        <v>297.21000000000004</v>
      </c>
      <c r="F141" s="59">
        <f>IF($E141&gt;0,IF(Parameter!$B$10="vorschüssig",_XLL.EDATUM(Parameter!$B$9,(A141-1)*12/Parameter!$B$3),_XLL.EDATUM(Parameter!$B$9,A141*12/Parameter!$B$3)),"")</f>
        <v>41606</v>
      </c>
      <c r="H141" s="47"/>
    </row>
    <row r="142" spans="1:8" s="46" customFormat="1" ht="12.75">
      <c r="A142" s="43">
        <v>141</v>
      </c>
      <c r="B142" s="44">
        <f>IF($D141&gt;0,IF($A142&gt;$G$2,$D141*Parameter!$B$8/Parameter!$B$3,$D141*Parameter!$B$2/Parameter!$B$3),0)</f>
        <v>32.04226699171924</v>
      </c>
      <c r="C142" s="44">
        <f>IF($A141&gt;=$G$3,MIN(IF(AND($A142&gt;$G$2,Parameter!$E$9),Parameter!$E$7-Zahlungsplan!$B142,Parameter!$B$5-$B142),$D141),0)</f>
        <v>265.1677330082808</v>
      </c>
      <c r="D142" s="44">
        <f t="shared" si="5"/>
        <v>10720.752378438314</v>
      </c>
      <c r="E142" s="45">
        <f t="shared" si="4"/>
        <v>297.21000000000004</v>
      </c>
      <c r="F142" s="59">
        <f>IF($E142&gt;0,IF(Parameter!$B$10="vorschüssig",_XLL.EDATUM(Parameter!$B$9,(A142-1)*12/Parameter!$B$3),_XLL.EDATUM(Parameter!$B$9,A142*12/Parameter!$B$3)),"")</f>
        <v>41636</v>
      </c>
      <c r="H142" s="47"/>
    </row>
    <row r="143" spans="1:8" s="46" customFormat="1" ht="12.75">
      <c r="A143" s="43">
        <v>142</v>
      </c>
      <c r="B143" s="44">
        <f>IF($D142&gt;0,IF($A143&gt;$G$2,$D142*Parameter!$B$8/Parameter!$B$3,$D142*Parameter!$B$2/Parameter!$B$3),0)</f>
        <v>31.26886110377842</v>
      </c>
      <c r="C143" s="44">
        <f>IF($A142&gt;=$G$3,MIN(IF(AND($A143&gt;$G$2,Parameter!$E$9),Parameter!$E$7-Zahlungsplan!$B143,Parameter!$B$5-$B143),$D142),0)</f>
        <v>265.9411388962216</v>
      </c>
      <c r="D143" s="44">
        <f t="shared" si="5"/>
        <v>10454.811239542092</v>
      </c>
      <c r="E143" s="45">
        <f t="shared" si="4"/>
        <v>297.21000000000004</v>
      </c>
      <c r="F143" s="59">
        <f>IF($E143&gt;0,IF(Parameter!$B$10="vorschüssig",_XLL.EDATUM(Parameter!$B$9,(A143-1)*12/Parameter!$B$3),_XLL.EDATUM(Parameter!$B$9,A143*12/Parameter!$B$3)),"")</f>
        <v>41667</v>
      </c>
      <c r="H143" s="47"/>
    </row>
    <row r="144" spans="1:8" s="46" customFormat="1" ht="12.75">
      <c r="A144" s="43">
        <v>143</v>
      </c>
      <c r="B144" s="44">
        <f>IF($D143&gt;0,IF($A144&gt;$G$2,$D143*Parameter!$B$8/Parameter!$B$3,$D143*Parameter!$B$2/Parameter!$B$3),0)</f>
        <v>30.493199448664438</v>
      </c>
      <c r="C144" s="44">
        <f>IF($A143&gt;=$G$3,MIN(IF(AND($A144&gt;$G$2,Parameter!$E$9),Parameter!$E$7-Zahlungsplan!$B144,Parameter!$B$5-$B144),$D143),0)</f>
        <v>266.7168005513356</v>
      </c>
      <c r="D144" s="44">
        <f t="shared" si="5"/>
        <v>10188.094438990756</v>
      </c>
      <c r="E144" s="45">
        <f t="shared" si="4"/>
        <v>297.21000000000004</v>
      </c>
      <c r="F144" s="59">
        <f>IF($E144&gt;0,IF(Parameter!$B$10="vorschüssig",_XLL.EDATUM(Parameter!$B$9,(A144-1)*12/Parameter!$B$3),_XLL.EDATUM(Parameter!$B$9,A144*12/Parameter!$B$3)),"")</f>
        <v>41698</v>
      </c>
      <c r="H144" s="47"/>
    </row>
    <row r="145" spans="1:8" s="46" customFormat="1" ht="12.75">
      <c r="A145" s="43">
        <v>144</v>
      </c>
      <c r="B145" s="44">
        <f>IF($D144&gt;0,IF($A145&gt;$G$2,$D144*Parameter!$B$8/Parameter!$B$3,$D144*Parameter!$B$2/Parameter!$B$3),0)</f>
        <v>29.715275447056374</v>
      </c>
      <c r="C145" s="44">
        <f>IF($A144&gt;=$G$3,MIN(IF(AND($A145&gt;$G$2,Parameter!$E$9),Parameter!$E$7-Zahlungsplan!$B145,Parameter!$B$5-$B145),$D144),0)</f>
        <v>267.49472455294364</v>
      </c>
      <c r="D145" s="44">
        <f t="shared" si="5"/>
        <v>9920.599714437813</v>
      </c>
      <c r="E145" s="45">
        <f t="shared" si="4"/>
        <v>297.21000000000004</v>
      </c>
      <c r="F145" s="59">
        <f>IF($E145&gt;0,IF(Parameter!$B$10="vorschüssig",_XLL.EDATUM(Parameter!$B$9,(A145-1)*12/Parameter!$B$3),_XLL.EDATUM(Parameter!$B$9,A145*12/Parameter!$B$3)),"")</f>
        <v>41726</v>
      </c>
      <c r="H145" s="47"/>
    </row>
    <row r="146" spans="1:8" s="46" customFormat="1" ht="12.75">
      <c r="A146" s="43">
        <v>145</v>
      </c>
      <c r="B146" s="44">
        <f>IF($D145&gt;0,IF($A146&gt;$G$2,$D145*Parameter!$B$8/Parameter!$B$3,$D145*Parameter!$B$2/Parameter!$B$3),0)</f>
        <v>28.935082500443624</v>
      </c>
      <c r="C146" s="44">
        <f>IF($A145&gt;=$G$3,MIN(IF(AND($A146&gt;$G$2,Parameter!$E$9),Parameter!$E$7-Zahlungsplan!$B146,Parameter!$B$5-$B146),$D145),0)</f>
        <v>268.2749174995564</v>
      </c>
      <c r="D146" s="44">
        <f t="shared" si="5"/>
        <v>9652.324796938256</v>
      </c>
      <c r="E146" s="45">
        <f t="shared" si="4"/>
        <v>297.21000000000004</v>
      </c>
      <c r="F146" s="59">
        <f>IF($E146&gt;0,IF(Parameter!$B$10="vorschüssig",_XLL.EDATUM(Parameter!$B$9,(A146-1)*12/Parameter!$B$3),_XLL.EDATUM(Parameter!$B$9,A146*12/Parameter!$B$3)),"")</f>
        <v>41757</v>
      </c>
      <c r="H146" s="47"/>
    </row>
    <row r="147" spans="1:8" s="46" customFormat="1" ht="12.75">
      <c r="A147" s="43">
        <v>146</v>
      </c>
      <c r="B147" s="44">
        <f>IF($D146&gt;0,IF($A147&gt;$G$2,$D146*Parameter!$B$8/Parameter!$B$3,$D146*Parameter!$B$2/Parameter!$B$3),0)</f>
        <v>28.152613991069913</v>
      </c>
      <c r="C147" s="44">
        <f>IF($A146&gt;=$G$3,MIN(IF(AND($A147&gt;$G$2,Parameter!$E$9),Parameter!$E$7-Zahlungsplan!$B147,Parameter!$B$5-$B147),$D146),0)</f>
        <v>269.0573860089301</v>
      </c>
      <c r="D147" s="44">
        <f t="shared" si="5"/>
        <v>9383.267410929326</v>
      </c>
      <c r="E147" s="45">
        <f t="shared" si="4"/>
        <v>297.21000000000004</v>
      </c>
      <c r="F147" s="59">
        <f>IF($E147&gt;0,IF(Parameter!$B$10="vorschüssig",_XLL.EDATUM(Parameter!$B$9,(A147-1)*12/Parameter!$B$3),_XLL.EDATUM(Parameter!$B$9,A147*12/Parameter!$B$3)),"")</f>
        <v>41787</v>
      </c>
      <c r="H147" s="47"/>
    </row>
    <row r="148" spans="1:8" s="46" customFormat="1" ht="12.75">
      <c r="A148" s="43">
        <v>147</v>
      </c>
      <c r="B148" s="44">
        <f>IF($D147&gt;0,IF($A148&gt;$G$2,$D147*Parameter!$B$8/Parameter!$B$3,$D147*Parameter!$B$2/Parameter!$B$3),0)</f>
        <v>27.367863281877202</v>
      </c>
      <c r="C148" s="44">
        <f>IF($A147&gt;=$G$3,MIN(IF(AND($A148&gt;$G$2,Parameter!$E$9),Parameter!$E$7-Zahlungsplan!$B148,Parameter!$B$5-$B148),$D147),0)</f>
        <v>269.84213671812284</v>
      </c>
      <c r="D148" s="44">
        <f t="shared" si="5"/>
        <v>9113.425274211202</v>
      </c>
      <c r="E148" s="45">
        <f t="shared" si="4"/>
        <v>297.21000000000004</v>
      </c>
      <c r="F148" s="59">
        <f>IF($E148&gt;0,IF(Parameter!$B$10="vorschüssig",_XLL.EDATUM(Parameter!$B$9,(A148-1)*12/Parameter!$B$3),_XLL.EDATUM(Parameter!$B$9,A148*12/Parameter!$B$3)),"")</f>
        <v>41818</v>
      </c>
      <c r="H148" s="47"/>
    </row>
    <row r="149" spans="1:8" s="46" customFormat="1" ht="12.75">
      <c r="A149" s="43">
        <v>148</v>
      </c>
      <c r="B149" s="44">
        <f>IF($D148&gt;0,IF($A149&gt;$G$2,$D148*Parameter!$B$8/Parameter!$B$3,$D148*Parameter!$B$2/Parameter!$B$3),0)</f>
        <v>26.58082371644934</v>
      </c>
      <c r="C149" s="44">
        <f>IF($A148&gt;=$G$3,MIN(IF(AND($A149&gt;$G$2,Parameter!$E$9),Parameter!$E$7-Zahlungsplan!$B149,Parameter!$B$5-$B149),$D148),0)</f>
        <v>270.6291762835507</v>
      </c>
      <c r="D149" s="44">
        <f t="shared" si="5"/>
        <v>8842.796097927652</v>
      </c>
      <c r="E149" s="45">
        <f t="shared" si="4"/>
        <v>297.21000000000004</v>
      </c>
      <c r="F149" s="59">
        <f>IF($E149&gt;0,IF(Parameter!$B$10="vorschüssig",_XLL.EDATUM(Parameter!$B$9,(A149-1)*12/Parameter!$B$3),_XLL.EDATUM(Parameter!$B$9,A149*12/Parameter!$B$3)),"")</f>
        <v>41848</v>
      </c>
      <c r="H149" s="47"/>
    </row>
    <row r="150" spans="1:8" s="46" customFormat="1" ht="12.75">
      <c r="A150" s="43">
        <v>149</v>
      </c>
      <c r="B150" s="44">
        <f>IF($D149&gt;0,IF($A150&gt;$G$2,$D149*Parameter!$B$8/Parameter!$B$3,$D149*Parameter!$B$2/Parameter!$B$3),0)</f>
        <v>25.791488618955654</v>
      </c>
      <c r="C150" s="44">
        <f>IF($A149&gt;=$G$3,MIN(IF(AND($A150&gt;$G$2,Parameter!$E$9),Parameter!$E$7-Zahlungsplan!$B150,Parameter!$B$5-$B150),$D149),0)</f>
        <v>271.41851138104437</v>
      </c>
      <c r="D150" s="44">
        <f t="shared" si="5"/>
        <v>8571.377586546609</v>
      </c>
      <c r="E150" s="45">
        <f t="shared" si="4"/>
        <v>297.21000000000004</v>
      </c>
      <c r="F150" s="59">
        <f>IF($E150&gt;0,IF(Parameter!$B$10="vorschüssig",_XLL.EDATUM(Parameter!$B$9,(A150-1)*12/Parameter!$B$3),_XLL.EDATUM(Parameter!$B$9,A150*12/Parameter!$B$3)),"")</f>
        <v>41879</v>
      </c>
      <c r="H150" s="47"/>
    </row>
    <row r="151" spans="1:8" s="46" customFormat="1" ht="12.75">
      <c r="A151" s="43">
        <v>150</v>
      </c>
      <c r="B151" s="44">
        <f>IF($D150&gt;0,IF($A151&gt;$G$2,$D150*Parameter!$B$8/Parameter!$B$3,$D150*Parameter!$B$2/Parameter!$B$3),0)</f>
        <v>24.99985129409428</v>
      </c>
      <c r="C151" s="44">
        <f>IF($A150&gt;=$G$3,MIN(IF(AND($A151&gt;$G$2,Parameter!$E$9),Parameter!$E$7-Zahlungsplan!$B151,Parameter!$B$5-$B151),$D150),0)</f>
        <v>272.21014870590574</v>
      </c>
      <c r="D151" s="44">
        <f t="shared" si="5"/>
        <v>8299.167437840702</v>
      </c>
      <c r="E151" s="45">
        <f t="shared" si="4"/>
        <v>297.21000000000004</v>
      </c>
      <c r="F151" s="59">
        <f>IF($E151&gt;0,IF(Parameter!$B$10="vorschüssig",_XLL.EDATUM(Parameter!$B$9,(A151-1)*12/Parameter!$B$3),_XLL.EDATUM(Parameter!$B$9,A151*12/Parameter!$B$3)),"")</f>
        <v>41910</v>
      </c>
      <c r="H151" s="47"/>
    </row>
    <row r="152" spans="1:8" s="46" customFormat="1" ht="12.75">
      <c r="A152" s="43">
        <v>151</v>
      </c>
      <c r="B152" s="44">
        <f>IF($D151&gt;0,IF($A152&gt;$G$2,$D151*Parameter!$B$8/Parameter!$B$3,$D151*Parameter!$B$2/Parameter!$B$3),0)</f>
        <v>24.205905027035385</v>
      </c>
      <c r="C152" s="44">
        <f>IF($A151&gt;=$G$3,MIN(IF(AND($A152&gt;$G$2,Parameter!$E$9),Parameter!$E$7-Zahlungsplan!$B152,Parameter!$B$5-$B152),$D151),0)</f>
        <v>273.00409497296465</v>
      </c>
      <c r="D152" s="44">
        <f t="shared" si="5"/>
        <v>8026.163342867738</v>
      </c>
      <c r="E152" s="45">
        <f t="shared" si="4"/>
        <v>297.21000000000004</v>
      </c>
      <c r="F152" s="59">
        <f>IF($E152&gt;0,IF(Parameter!$B$10="vorschüssig",_XLL.EDATUM(Parameter!$B$9,(A152-1)*12/Parameter!$B$3),_XLL.EDATUM(Parameter!$B$9,A152*12/Parameter!$B$3)),"")</f>
        <v>41940</v>
      </c>
      <c r="H152" s="47"/>
    </row>
    <row r="153" spans="1:8" s="46" customFormat="1" ht="12.75">
      <c r="A153" s="43">
        <v>152</v>
      </c>
      <c r="B153" s="44">
        <f>IF($D152&gt;0,IF($A153&gt;$G$2,$D152*Parameter!$B$8/Parameter!$B$3,$D152*Parameter!$B$2/Parameter!$B$3),0)</f>
        <v>23.40964308336424</v>
      </c>
      <c r="C153" s="44">
        <f>IF($A152&gt;=$G$3,MIN(IF(AND($A153&gt;$G$2,Parameter!$E$9),Parameter!$E$7-Zahlungsplan!$B153,Parameter!$B$5-$B153),$D152),0)</f>
        <v>273.8003569166358</v>
      </c>
      <c r="D153" s="44">
        <f t="shared" si="5"/>
        <v>7752.362985951102</v>
      </c>
      <c r="E153" s="45">
        <f t="shared" si="4"/>
        <v>297.21000000000004</v>
      </c>
      <c r="F153" s="59">
        <f>IF($E153&gt;0,IF(Parameter!$B$10="vorschüssig",_XLL.EDATUM(Parameter!$B$9,(A153-1)*12/Parameter!$B$3),_XLL.EDATUM(Parameter!$B$9,A153*12/Parameter!$B$3)),"")</f>
        <v>41971</v>
      </c>
      <c r="H153" s="47"/>
    </row>
    <row r="154" spans="1:8" s="46" customFormat="1" ht="12.75">
      <c r="A154" s="43">
        <v>153</v>
      </c>
      <c r="B154" s="44">
        <f>IF($D153&gt;0,IF($A154&gt;$G$2,$D153*Parameter!$B$8/Parameter!$B$3,$D153*Parameter!$B$2/Parameter!$B$3),0)</f>
        <v>22.61105870902405</v>
      </c>
      <c r="C154" s="44">
        <f>IF($A153&gt;=$G$3,MIN(IF(AND($A154&gt;$G$2,Parameter!$E$9),Parameter!$E$7-Zahlungsplan!$B154,Parameter!$B$5-$B154),$D153),0)</f>
        <v>274.598941290976</v>
      </c>
      <c r="D154" s="44">
        <f t="shared" si="5"/>
        <v>7477.764044660126</v>
      </c>
      <c r="E154" s="45">
        <f t="shared" si="4"/>
        <v>297.21000000000004</v>
      </c>
      <c r="F154" s="59">
        <f>IF($E154&gt;0,IF(Parameter!$B$10="vorschüssig",_XLL.EDATUM(Parameter!$B$9,(A154-1)*12/Parameter!$B$3),_XLL.EDATUM(Parameter!$B$9,A154*12/Parameter!$B$3)),"")</f>
        <v>42001</v>
      </c>
      <c r="H154" s="47"/>
    </row>
    <row r="155" spans="1:8" s="46" customFormat="1" ht="12.75">
      <c r="A155" s="43">
        <v>154</v>
      </c>
      <c r="B155" s="44">
        <f>IF($D154&gt;0,IF($A155&gt;$G$2,$D154*Parameter!$B$8/Parameter!$B$3,$D154*Parameter!$B$2/Parameter!$B$3),0)</f>
        <v>21.810145130258704</v>
      </c>
      <c r="C155" s="44">
        <f>IF($A154&gt;=$G$3,MIN(IF(AND($A155&gt;$G$2,Parameter!$E$9),Parameter!$E$7-Zahlungsplan!$B155,Parameter!$B$5-$B155),$D154),0)</f>
        <v>275.3998548697413</v>
      </c>
      <c r="D155" s="44">
        <f t="shared" si="5"/>
        <v>7202.364189790385</v>
      </c>
      <c r="E155" s="45">
        <f t="shared" si="4"/>
        <v>297.21000000000004</v>
      </c>
      <c r="F155" s="59">
        <f>IF($E155&gt;0,IF(Parameter!$B$10="vorschüssig",_XLL.EDATUM(Parameter!$B$9,(A155-1)*12/Parameter!$B$3),_XLL.EDATUM(Parameter!$B$9,A155*12/Parameter!$B$3)),"")</f>
        <v>42032</v>
      </c>
      <c r="H155" s="47"/>
    </row>
    <row r="156" spans="1:8" s="46" customFormat="1" ht="12.75">
      <c r="A156" s="43">
        <v>155</v>
      </c>
      <c r="B156" s="44">
        <f>IF($D155&gt;0,IF($A156&gt;$G$2,$D155*Parameter!$B$8/Parameter!$B$3,$D155*Parameter!$B$2/Parameter!$B$3),0)</f>
        <v>21.006895553555292</v>
      </c>
      <c r="C156" s="44">
        <f>IF($A155&gt;=$G$3,MIN(IF(AND($A156&gt;$G$2,Parameter!$E$9),Parameter!$E$7-Zahlungsplan!$B156,Parameter!$B$5-$B156),$D155),0)</f>
        <v>276.20310444644474</v>
      </c>
      <c r="D156" s="44">
        <f t="shared" si="5"/>
        <v>6926.161085343941</v>
      </c>
      <c r="E156" s="45">
        <f t="shared" si="4"/>
        <v>297.21000000000004</v>
      </c>
      <c r="F156" s="59">
        <f>IF($E156&gt;0,IF(Parameter!$B$10="vorschüssig",_XLL.EDATUM(Parameter!$B$9,(A156-1)*12/Parameter!$B$3),_XLL.EDATUM(Parameter!$B$9,A156*12/Parameter!$B$3)),"")</f>
        <v>42063</v>
      </c>
      <c r="H156" s="47"/>
    </row>
    <row r="157" spans="1:8" s="46" customFormat="1" ht="12.75">
      <c r="A157" s="43">
        <v>156</v>
      </c>
      <c r="B157" s="44">
        <f>IF($D156&gt;0,IF($A157&gt;$G$2,$D156*Parameter!$B$8/Parameter!$B$3,$D156*Parameter!$B$2/Parameter!$B$3),0)</f>
        <v>20.201303165586495</v>
      </c>
      <c r="C157" s="44">
        <f>IF($A156&gt;=$G$3,MIN(IF(AND($A157&gt;$G$2,Parameter!$E$9),Parameter!$E$7-Zahlungsplan!$B157,Parameter!$B$5-$B157),$D156),0)</f>
        <v>277.0086968344135</v>
      </c>
      <c r="D157" s="44">
        <f t="shared" si="5"/>
        <v>6649.152388509527</v>
      </c>
      <c r="E157" s="45">
        <f t="shared" si="4"/>
        <v>297.21000000000004</v>
      </c>
      <c r="F157" s="59">
        <f>IF($E157&gt;0,IF(Parameter!$B$10="vorschüssig",_XLL.EDATUM(Parameter!$B$9,(A157-1)*12/Parameter!$B$3),_XLL.EDATUM(Parameter!$B$9,A157*12/Parameter!$B$3)),"")</f>
        <v>42091</v>
      </c>
      <c r="H157" s="47"/>
    </row>
    <row r="158" spans="1:8" s="46" customFormat="1" ht="12.75">
      <c r="A158" s="43">
        <v>157</v>
      </c>
      <c r="B158" s="44">
        <f>IF($D157&gt;0,IF($A158&gt;$G$2,$D157*Parameter!$B$8/Parameter!$B$3,$D157*Parameter!$B$2/Parameter!$B$3),0)</f>
        <v>19.393361133152787</v>
      </c>
      <c r="C158" s="44">
        <f>IF($A157&gt;=$G$3,MIN(IF(AND($A158&gt;$G$2,Parameter!$E$9),Parameter!$E$7-Zahlungsplan!$B158,Parameter!$B$5-$B158),$D157),0)</f>
        <v>277.81663886684726</v>
      </c>
      <c r="D158" s="44">
        <f t="shared" si="5"/>
        <v>6371.33574964268</v>
      </c>
      <c r="E158" s="45">
        <f t="shared" si="4"/>
        <v>297.21000000000004</v>
      </c>
      <c r="F158" s="59">
        <f>IF($E158&gt;0,IF(Parameter!$B$10="vorschüssig",_XLL.EDATUM(Parameter!$B$9,(A158-1)*12/Parameter!$B$3),_XLL.EDATUM(Parameter!$B$9,A158*12/Parameter!$B$3)),"")</f>
        <v>42122</v>
      </c>
      <c r="H158" s="47"/>
    </row>
    <row r="159" spans="1:8" s="46" customFormat="1" ht="12.75">
      <c r="A159" s="43">
        <v>158</v>
      </c>
      <c r="B159" s="44">
        <f>IF($D158&gt;0,IF($A159&gt;$G$2,$D158*Parameter!$B$8/Parameter!$B$3,$D158*Parameter!$B$2/Parameter!$B$3),0)</f>
        <v>18.583062603124485</v>
      </c>
      <c r="C159" s="44">
        <f>IF($A158&gt;=$G$3,MIN(IF(AND($A159&gt;$G$2,Parameter!$E$9),Parameter!$E$7-Zahlungsplan!$B159,Parameter!$B$5-$B159),$D158),0)</f>
        <v>278.6269373968756</v>
      </c>
      <c r="D159" s="44">
        <f t="shared" si="5"/>
        <v>6092.708812245804</v>
      </c>
      <c r="E159" s="45">
        <f t="shared" si="4"/>
        <v>297.21000000000004</v>
      </c>
      <c r="F159" s="59">
        <f>IF($E159&gt;0,IF(Parameter!$B$10="vorschüssig",_XLL.EDATUM(Parameter!$B$9,(A159-1)*12/Parameter!$B$3),_XLL.EDATUM(Parameter!$B$9,A159*12/Parameter!$B$3)),"")</f>
        <v>42152</v>
      </c>
      <c r="H159" s="47"/>
    </row>
    <row r="160" spans="1:8" s="46" customFormat="1" ht="12.75">
      <c r="A160" s="43">
        <v>159</v>
      </c>
      <c r="B160" s="44">
        <f>IF($D159&gt;0,IF($A160&gt;$G$2,$D159*Parameter!$B$8/Parameter!$B$3,$D159*Parameter!$B$2/Parameter!$B$3),0)</f>
        <v>17.770400702383597</v>
      </c>
      <c r="C160" s="44">
        <f>IF($A159&gt;=$G$3,MIN(IF(AND($A160&gt;$G$2,Parameter!$E$9),Parameter!$E$7-Zahlungsplan!$B160,Parameter!$B$5-$B160),$D159),0)</f>
        <v>279.43959929761644</v>
      </c>
      <c r="D160" s="44">
        <f t="shared" si="5"/>
        <v>5813.269212948188</v>
      </c>
      <c r="E160" s="45">
        <f t="shared" si="4"/>
        <v>297.21000000000004</v>
      </c>
      <c r="F160" s="59">
        <f>IF($E160&gt;0,IF(Parameter!$B$10="vorschüssig",_XLL.EDATUM(Parameter!$B$9,(A160-1)*12/Parameter!$B$3),_XLL.EDATUM(Parameter!$B$9,A160*12/Parameter!$B$3)),"")</f>
        <v>42183</v>
      </c>
      <c r="H160" s="47"/>
    </row>
    <row r="161" spans="1:8" s="46" customFormat="1" ht="12.75">
      <c r="A161" s="43">
        <v>160</v>
      </c>
      <c r="B161" s="44">
        <f>IF($D160&gt;0,IF($A161&gt;$G$2,$D160*Parameter!$B$8/Parameter!$B$3,$D160*Parameter!$B$2/Parameter!$B$3),0)</f>
        <v>16.95536853776555</v>
      </c>
      <c r="C161" s="44">
        <f>IF($A160&gt;=$G$3,MIN(IF(AND($A161&gt;$G$2,Parameter!$E$9),Parameter!$E$7-Zahlungsplan!$B161,Parameter!$B$5-$B161),$D160),0)</f>
        <v>280.2546314622345</v>
      </c>
      <c r="D161" s="44">
        <f t="shared" si="5"/>
        <v>5533.014581485954</v>
      </c>
      <c r="E161" s="45">
        <f t="shared" si="4"/>
        <v>297.21000000000004</v>
      </c>
      <c r="F161" s="59">
        <f>IF($E161&gt;0,IF(Parameter!$B$10="vorschüssig",_XLL.EDATUM(Parameter!$B$9,(A161-1)*12/Parameter!$B$3),_XLL.EDATUM(Parameter!$B$9,A161*12/Parameter!$B$3)),"")</f>
        <v>42213</v>
      </c>
      <c r="H161" s="47"/>
    </row>
    <row r="162" spans="1:8" s="46" customFormat="1" ht="12.75">
      <c r="A162" s="43">
        <v>161</v>
      </c>
      <c r="B162" s="44">
        <f>IF($D161&gt;0,IF($A162&gt;$G$2,$D161*Parameter!$B$8/Parameter!$B$3,$D161*Parameter!$B$2/Parameter!$B$3),0)</f>
        <v>16.1379591960007</v>
      </c>
      <c r="C162" s="44">
        <f>IF($A161&gt;=$G$3,MIN(IF(AND($A162&gt;$G$2,Parameter!$E$9),Parameter!$E$7-Zahlungsplan!$B162,Parameter!$B$5-$B162),$D161),0)</f>
        <v>281.07204080399936</v>
      </c>
      <c r="D162" s="44">
        <f t="shared" si="5"/>
        <v>5251.942540681955</v>
      </c>
      <c r="E162" s="45">
        <f t="shared" si="4"/>
        <v>297.21000000000004</v>
      </c>
      <c r="F162" s="59">
        <f>IF($E162&gt;0,IF(Parameter!$B$10="vorschüssig",_XLL.EDATUM(Parameter!$B$9,(A162-1)*12/Parameter!$B$3),_XLL.EDATUM(Parameter!$B$9,A162*12/Parameter!$B$3)),"")</f>
        <v>42244</v>
      </c>
      <c r="H162" s="47"/>
    </row>
    <row r="163" spans="1:8" s="46" customFormat="1" ht="12.75">
      <c r="A163" s="43">
        <v>162</v>
      </c>
      <c r="B163" s="44">
        <f>IF($D162&gt;0,IF($A163&gt;$G$2,$D162*Parameter!$B$8/Parameter!$B$3,$D162*Parameter!$B$2/Parameter!$B$3),0)</f>
        <v>15.318165743655703</v>
      </c>
      <c r="C163" s="44">
        <f>IF($A162&gt;=$G$3,MIN(IF(AND($A163&gt;$G$2,Parameter!$E$9),Parameter!$E$7-Zahlungsplan!$B163,Parameter!$B$5-$B163),$D162),0)</f>
        <v>281.89183425634434</v>
      </c>
      <c r="D163" s="44">
        <f t="shared" si="5"/>
        <v>4970.05070642561</v>
      </c>
      <c r="E163" s="45">
        <f t="shared" si="4"/>
        <v>297.21000000000004</v>
      </c>
      <c r="F163" s="59">
        <f>IF($E163&gt;0,IF(Parameter!$B$10="vorschüssig",_XLL.EDATUM(Parameter!$B$9,(A163-1)*12/Parameter!$B$3),_XLL.EDATUM(Parameter!$B$9,A163*12/Parameter!$B$3)),"")</f>
        <v>42275</v>
      </c>
      <c r="H163" s="47"/>
    </row>
    <row r="164" spans="1:8" s="46" customFormat="1" ht="12.75">
      <c r="A164" s="43">
        <v>163</v>
      </c>
      <c r="B164" s="44">
        <f>IF($D163&gt;0,IF($A164&gt;$G$2,$D163*Parameter!$B$8/Parameter!$B$3,$D163*Parameter!$B$2/Parameter!$B$3),0)</f>
        <v>14.495981227074695</v>
      </c>
      <c r="C164" s="44">
        <f>IF($A163&gt;=$G$3,MIN(IF(AND($A164&gt;$G$2,Parameter!$E$9),Parameter!$E$7-Zahlungsplan!$B164,Parameter!$B$5-$B164),$D163),0)</f>
        <v>282.71401877292533</v>
      </c>
      <c r="D164" s="44">
        <f t="shared" si="5"/>
        <v>4687.336687652684</v>
      </c>
      <c r="E164" s="45">
        <f t="shared" si="4"/>
        <v>297.21000000000004</v>
      </c>
      <c r="F164" s="59">
        <f>IF($E164&gt;0,IF(Parameter!$B$10="vorschüssig",_XLL.EDATUM(Parameter!$B$9,(A164-1)*12/Parameter!$B$3),_XLL.EDATUM(Parameter!$B$9,A164*12/Parameter!$B$3)),"")</f>
        <v>42305</v>
      </c>
      <c r="H164" s="47"/>
    </row>
    <row r="165" spans="1:8" s="46" customFormat="1" ht="12.75">
      <c r="A165" s="43">
        <v>164</v>
      </c>
      <c r="B165" s="44">
        <f>IF($D164&gt;0,IF($A165&gt;$G$2,$D164*Parameter!$B$8/Parameter!$B$3,$D164*Parameter!$B$2/Parameter!$B$3),0)</f>
        <v>13.671398672320331</v>
      </c>
      <c r="C165" s="44">
        <f>IF($A164&gt;=$G$3,MIN(IF(AND($A165&gt;$G$2,Parameter!$E$9),Parameter!$E$7-Zahlungsplan!$B165,Parameter!$B$5-$B165),$D164),0)</f>
        <v>283.5386013276797</v>
      </c>
      <c r="D165" s="44">
        <f t="shared" si="5"/>
        <v>4403.798086325005</v>
      </c>
      <c r="E165" s="45">
        <f t="shared" si="4"/>
        <v>297.21000000000004</v>
      </c>
      <c r="F165" s="59">
        <f>IF($E165&gt;0,IF(Parameter!$B$10="vorschüssig",_XLL.EDATUM(Parameter!$B$9,(A165-1)*12/Parameter!$B$3),_XLL.EDATUM(Parameter!$B$9,A165*12/Parameter!$B$3)),"")</f>
        <v>42336</v>
      </c>
      <c r="H165" s="47"/>
    </row>
    <row r="166" spans="1:8" s="46" customFormat="1" ht="12.75">
      <c r="A166" s="43">
        <v>165</v>
      </c>
      <c r="B166" s="44">
        <f>IF($D165&gt;0,IF($A166&gt;$G$2,$D165*Parameter!$B$8/Parameter!$B$3,$D165*Parameter!$B$2/Parameter!$B$3),0)</f>
        <v>12.844411085114599</v>
      </c>
      <c r="C166" s="44">
        <f>IF($A165&gt;=$G$3,MIN(IF(AND($A166&gt;$G$2,Parameter!$E$9),Parameter!$E$7-Zahlungsplan!$B166,Parameter!$B$5-$B166),$D165),0)</f>
        <v>284.36558891488545</v>
      </c>
      <c r="D166" s="44">
        <f t="shared" si="5"/>
        <v>4119.432497410119</v>
      </c>
      <c r="E166" s="45">
        <f t="shared" si="4"/>
        <v>297.21000000000004</v>
      </c>
      <c r="F166" s="59">
        <f>IF($E166&gt;0,IF(Parameter!$B$10="vorschüssig",_XLL.EDATUM(Parameter!$B$9,(A166-1)*12/Parameter!$B$3),_XLL.EDATUM(Parameter!$B$9,A166*12/Parameter!$B$3)),"")</f>
        <v>42366</v>
      </c>
      <c r="H166" s="47"/>
    </row>
    <row r="167" spans="1:8" s="46" customFormat="1" ht="12.75">
      <c r="A167" s="43">
        <v>166</v>
      </c>
      <c r="B167" s="44">
        <f>IF($D166&gt;0,IF($A167&gt;$G$2,$D166*Parameter!$B$8/Parameter!$B$3,$D166*Parameter!$B$2/Parameter!$B$3),0)</f>
        <v>12.015011450779516</v>
      </c>
      <c r="C167" s="44">
        <f>IF($A166&gt;=$G$3,MIN(IF(AND($A167&gt;$G$2,Parameter!$E$9),Parameter!$E$7-Zahlungsplan!$B167,Parameter!$B$5-$B167),$D166),0)</f>
        <v>285.1949885492205</v>
      </c>
      <c r="D167" s="44">
        <f t="shared" si="5"/>
        <v>3834.2375088608987</v>
      </c>
      <c r="E167" s="45">
        <f t="shared" si="4"/>
        <v>297.21000000000004</v>
      </c>
      <c r="F167" s="59">
        <f>IF($E167&gt;0,IF(Parameter!$B$10="vorschüssig",_XLL.EDATUM(Parameter!$B$9,(A167-1)*12/Parameter!$B$3),_XLL.EDATUM(Parameter!$B$9,A167*12/Parameter!$B$3)),"")</f>
        <v>42397</v>
      </c>
      <c r="H167" s="47"/>
    </row>
    <row r="168" spans="1:8" s="46" customFormat="1" ht="12.75">
      <c r="A168" s="43">
        <v>167</v>
      </c>
      <c r="B168" s="44">
        <f>IF($D167&gt;0,IF($A168&gt;$G$2,$D167*Parameter!$B$8/Parameter!$B$3,$D167*Parameter!$B$2/Parameter!$B$3),0)</f>
        <v>11.183192734177622</v>
      </c>
      <c r="C168" s="44">
        <f>IF($A167&gt;=$G$3,MIN(IF(AND($A168&gt;$G$2,Parameter!$E$9),Parameter!$E$7-Zahlungsplan!$B168,Parameter!$B$5-$B168),$D167),0)</f>
        <v>286.0268072658224</v>
      </c>
      <c r="D168" s="44">
        <f t="shared" si="5"/>
        <v>3548.2107015950764</v>
      </c>
      <c r="E168" s="45">
        <f t="shared" si="4"/>
        <v>297.21000000000004</v>
      </c>
      <c r="F168" s="59">
        <f>IF($E168&gt;0,IF(Parameter!$B$10="vorschüssig",_XLL.EDATUM(Parameter!$B$9,(A168-1)*12/Parameter!$B$3),_XLL.EDATUM(Parameter!$B$9,A168*12/Parameter!$B$3)),"")</f>
        <v>42428</v>
      </c>
      <c r="H168" s="47"/>
    </row>
    <row r="169" spans="1:8" s="46" customFormat="1" ht="12.75">
      <c r="A169" s="43">
        <v>168</v>
      </c>
      <c r="B169" s="44">
        <f>IF($D168&gt;0,IF($A169&gt;$G$2,$D168*Parameter!$B$8/Parameter!$B$3,$D168*Parameter!$B$2/Parameter!$B$3),0)</f>
        <v>10.348947879652307</v>
      </c>
      <c r="C169" s="44">
        <f>IF($A168&gt;=$G$3,MIN(IF(AND($A169&gt;$G$2,Parameter!$E$9),Parameter!$E$7-Zahlungsplan!$B169,Parameter!$B$5-$B169),$D168),0)</f>
        <v>286.8610521203477</v>
      </c>
      <c r="D169" s="44">
        <f t="shared" si="5"/>
        <v>3261.3496494747287</v>
      </c>
      <c r="E169" s="45">
        <f t="shared" si="4"/>
        <v>297.21000000000004</v>
      </c>
      <c r="F169" s="59">
        <f>IF($E169&gt;0,IF(Parameter!$B$10="vorschüssig",_XLL.EDATUM(Parameter!$B$9,(A169-1)*12/Parameter!$B$3),_XLL.EDATUM(Parameter!$B$9,A169*12/Parameter!$B$3)),"")</f>
        <v>42457</v>
      </c>
      <c r="H169" s="47"/>
    </row>
    <row r="170" spans="1:8" s="46" customFormat="1" ht="12.75">
      <c r="A170" s="43">
        <v>169</v>
      </c>
      <c r="B170" s="44">
        <f>IF($D169&gt;0,IF($A170&gt;$G$2,$D169*Parameter!$B$8/Parameter!$B$3,$D169*Parameter!$B$2/Parameter!$B$3),0)</f>
        <v>9.51226981096796</v>
      </c>
      <c r="C170" s="44">
        <f>IF($A169&gt;=$G$3,MIN(IF(AND($A170&gt;$G$2,Parameter!$E$9),Parameter!$E$7-Zahlungsplan!$B170,Parameter!$B$5-$B170),$D169),0)</f>
        <v>287.6977301890321</v>
      </c>
      <c r="D170" s="44">
        <f t="shared" si="5"/>
        <v>2973.6519192856967</v>
      </c>
      <c r="E170" s="45">
        <f t="shared" si="4"/>
        <v>297.21000000000004</v>
      </c>
      <c r="F170" s="59">
        <f>IF($E170&gt;0,IF(Parameter!$B$10="vorschüssig",_XLL.EDATUM(Parameter!$B$9,(A170-1)*12/Parameter!$B$3),_XLL.EDATUM(Parameter!$B$9,A170*12/Parameter!$B$3)),"")</f>
        <v>42488</v>
      </c>
      <c r="H170" s="47"/>
    </row>
    <row r="171" spans="1:8" s="46" customFormat="1" ht="12.75">
      <c r="A171" s="43">
        <v>170</v>
      </c>
      <c r="B171" s="44">
        <f>IF($D170&gt;0,IF($A171&gt;$G$2,$D170*Parameter!$B$8/Parameter!$B$3,$D170*Parameter!$B$2/Parameter!$B$3),0)</f>
        <v>8.67315143124995</v>
      </c>
      <c r="C171" s="44">
        <f>IF($A170&gt;=$G$3,MIN(IF(AND($A171&gt;$G$2,Parameter!$E$9),Parameter!$E$7-Zahlungsplan!$B171,Parameter!$B$5-$B171),$D170),0)</f>
        <v>288.5368485687501</v>
      </c>
      <c r="D171" s="44">
        <f t="shared" si="5"/>
        <v>2685.115070716947</v>
      </c>
      <c r="E171" s="45">
        <f t="shared" si="4"/>
        <v>297.21000000000004</v>
      </c>
      <c r="F171" s="59">
        <f>IF($E171&gt;0,IF(Parameter!$B$10="vorschüssig",_XLL.EDATUM(Parameter!$B$9,(A171-1)*12/Parameter!$B$3),_XLL.EDATUM(Parameter!$B$9,A171*12/Parameter!$B$3)),"")</f>
        <v>42518</v>
      </c>
      <c r="H171" s="47"/>
    </row>
    <row r="172" spans="1:8" s="46" customFormat="1" ht="12.75">
      <c r="A172" s="43">
        <v>171</v>
      </c>
      <c r="B172" s="44">
        <f>IF($D171&gt;0,IF($A172&gt;$G$2,$D171*Parameter!$B$8/Parameter!$B$3,$D171*Parameter!$B$2/Parameter!$B$3),0)</f>
        <v>7.831585622924429</v>
      </c>
      <c r="C172" s="44">
        <f>IF($A171&gt;=$G$3,MIN(IF(AND($A172&gt;$G$2,Parameter!$E$9),Parameter!$E$7-Zahlungsplan!$B172,Parameter!$B$5-$B172),$D171),0)</f>
        <v>289.3784143770756</v>
      </c>
      <c r="D172" s="44">
        <f t="shared" si="5"/>
        <v>2395.736656339871</v>
      </c>
      <c r="E172" s="45">
        <f t="shared" si="4"/>
        <v>297.21000000000004</v>
      </c>
      <c r="F172" s="59">
        <f>IF($E172&gt;0,IF(Parameter!$B$10="vorschüssig",_XLL.EDATUM(Parameter!$B$9,(A172-1)*12/Parameter!$B$3),_XLL.EDATUM(Parameter!$B$9,A172*12/Parameter!$B$3)),"")</f>
        <v>42549</v>
      </c>
      <c r="H172" s="47"/>
    </row>
    <row r="173" spans="1:8" s="46" customFormat="1" ht="12.75">
      <c r="A173" s="43">
        <v>172</v>
      </c>
      <c r="B173" s="44">
        <f>IF($D172&gt;0,IF($A173&gt;$G$2,$D172*Parameter!$B$8/Parameter!$B$3,$D172*Parameter!$B$2/Parameter!$B$3),0)</f>
        <v>6.987565247657957</v>
      </c>
      <c r="C173" s="44">
        <f>IF($A172&gt;=$G$3,MIN(IF(AND($A173&gt;$G$2,Parameter!$E$9),Parameter!$E$7-Zahlungsplan!$B173,Parameter!$B$5-$B173),$D172),0)</f>
        <v>290.22243475234205</v>
      </c>
      <c r="D173" s="44">
        <f t="shared" si="5"/>
        <v>2105.514221587529</v>
      </c>
      <c r="E173" s="45">
        <f t="shared" si="4"/>
        <v>297.21000000000004</v>
      </c>
      <c r="F173" s="59">
        <f>IF($E173&gt;0,IF(Parameter!$B$10="vorschüssig",_XLL.EDATUM(Parameter!$B$9,(A173-1)*12/Parameter!$B$3),_XLL.EDATUM(Parameter!$B$9,A173*12/Parameter!$B$3)),"")</f>
        <v>42579</v>
      </c>
      <c r="H173" s="47"/>
    </row>
    <row r="174" spans="1:8" s="46" customFormat="1" ht="12.75">
      <c r="A174" s="43">
        <v>173</v>
      </c>
      <c r="B174" s="44">
        <f>IF($D173&gt;0,IF($A174&gt;$G$2,$D173*Parameter!$B$8/Parameter!$B$3,$D173*Parameter!$B$2/Parameter!$B$3),0)</f>
        <v>6.14108314629696</v>
      </c>
      <c r="C174" s="44">
        <f>IF($A173&gt;=$G$3,MIN(IF(AND($A174&gt;$G$2,Parameter!$E$9),Parameter!$E$7-Zahlungsplan!$B174,Parameter!$B$5-$B174),$D173),0)</f>
        <v>291.06891685370306</v>
      </c>
      <c r="D174" s="44">
        <f t="shared" si="5"/>
        <v>1814.4453047338259</v>
      </c>
      <c r="E174" s="45">
        <f t="shared" si="4"/>
        <v>297.21000000000004</v>
      </c>
      <c r="F174" s="59">
        <f>IF($E174&gt;0,IF(Parameter!$B$10="vorschüssig",_XLL.EDATUM(Parameter!$B$9,(A174-1)*12/Parameter!$B$3),_XLL.EDATUM(Parameter!$B$9,A174*12/Parameter!$B$3)),"")</f>
        <v>42610</v>
      </c>
      <c r="H174" s="47"/>
    </row>
    <row r="175" spans="1:8" s="46" customFormat="1" ht="12.75">
      <c r="A175" s="43">
        <v>174</v>
      </c>
      <c r="B175" s="44">
        <f>IF($D174&gt;0,IF($A175&gt;$G$2,$D174*Parameter!$B$8/Parameter!$B$3,$D174*Parameter!$B$2/Parameter!$B$3),0)</f>
        <v>5.292132138806992</v>
      </c>
      <c r="C175" s="44">
        <f>IF($A174&gt;=$G$3,MIN(IF(AND($A175&gt;$G$2,Parameter!$E$9),Parameter!$E$7-Zahlungsplan!$B175,Parameter!$B$5-$B175),$D174),0)</f>
        <v>291.91786786119303</v>
      </c>
      <c r="D175" s="44">
        <f t="shared" si="5"/>
        <v>1522.5274368726327</v>
      </c>
      <c r="E175" s="45">
        <f t="shared" si="4"/>
        <v>297.21000000000004</v>
      </c>
      <c r="F175" s="59">
        <f>IF($E175&gt;0,IF(Parameter!$B$10="vorschüssig",_XLL.EDATUM(Parameter!$B$9,(A175-1)*12/Parameter!$B$3),_XLL.EDATUM(Parameter!$B$9,A175*12/Parameter!$B$3)),"")</f>
        <v>42641</v>
      </c>
      <c r="H175" s="47"/>
    </row>
    <row r="176" spans="1:8" s="46" customFormat="1" ht="12.75">
      <c r="A176" s="43">
        <v>175</v>
      </c>
      <c r="B176" s="44">
        <f>IF($D175&gt;0,IF($A176&gt;$G$2,$D175*Parameter!$B$8/Parameter!$B$3,$D175*Parameter!$B$2/Parameter!$B$3),0)</f>
        <v>4.440705024211845</v>
      </c>
      <c r="C176" s="44">
        <f>IF($A175&gt;=$G$3,MIN(IF(AND($A176&gt;$G$2,Parameter!$E$9),Parameter!$E$7-Zahlungsplan!$B176,Parameter!$B$5-$B176),$D175),0)</f>
        <v>292.76929497578817</v>
      </c>
      <c r="D176" s="44">
        <f t="shared" si="5"/>
        <v>1229.7581418968446</v>
      </c>
      <c r="E176" s="45">
        <f t="shared" si="4"/>
        <v>297.21000000000004</v>
      </c>
      <c r="F176" s="59">
        <f>IF($E176&gt;0,IF(Parameter!$B$10="vorschüssig",_XLL.EDATUM(Parameter!$B$9,(A176-1)*12/Parameter!$B$3),_XLL.EDATUM(Parameter!$B$9,A176*12/Parameter!$B$3)),"")</f>
        <v>42671</v>
      </c>
      <c r="H176" s="47"/>
    </row>
    <row r="177" spans="1:8" s="46" customFormat="1" ht="12.75">
      <c r="A177" s="43">
        <v>176</v>
      </c>
      <c r="B177" s="44">
        <f>IF($D176&gt;0,IF($A177&gt;$G$2,$D176*Parameter!$B$8/Parameter!$B$3,$D176*Parameter!$B$2/Parameter!$B$3),0)</f>
        <v>3.5867945805324637</v>
      </c>
      <c r="C177" s="44">
        <f>IF($A176&gt;=$G$3,MIN(IF(AND($A177&gt;$G$2,Parameter!$E$9),Parameter!$E$7-Zahlungsplan!$B177,Parameter!$B$5-$B177),$D176),0)</f>
        <v>293.6232054194676</v>
      </c>
      <c r="D177" s="44">
        <f t="shared" si="5"/>
        <v>936.134936477377</v>
      </c>
      <c r="E177" s="45">
        <f t="shared" si="4"/>
        <v>297.21000000000004</v>
      </c>
      <c r="F177" s="59">
        <f>IF($E177&gt;0,IF(Parameter!$B$10="vorschüssig",_XLL.EDATUM(Parameter!$B$9,(A177-1)*12/Parameter!$B$3),_XLL.EDATUM(Parameter!$B$9,A177*12/Parameter!$B$3)),"")</f>
        <v>42702</v>
      </c>
      <c r="H177" s="47"/>
    </row>
    <row r="178" spans="1:8" s="46" customFormat="1" ht="12.75">
      <c r="A178" s="43">
        <v>177</v>
      </c>
      <c r="B178" s="44">
        <f>IF($D177&gt;0,IF($A178&gt;$G$2,$D177*Parameter!$B$8/Parameter!$B$3,$D177*Parameter!$B$2/Parameter!$B$3),0)</f>
        <v>2.730393564725683</v>
      </c>
      <c r="C178" s="44">
        <f>IF($A177&gt;=$G$3,MIN(IF(AND($A178&gt;$G$2,Parameter!$E$9),Parameter!$E$7-Zahlungsplan!$B178,Parameter!$B$5-$B178),$D177),0)</f>
        <v>294.4796064352744</v>
      </c>
      <c r="D178" s="44">
        <f t="shared" si="5"/>
        <v>641.6553300421026</v>
      </c>
      <c r="E178" s="45">
        <f t="shared" si="4"/>
        <v>297.21000000000004</v>
      </c>
      <c r="F178" s="59">
        <f>IF($E178&gt;0,IF(Parameter!$B$10="vorschüssig",_XLL.EDATUM(Parameter!$B$9,(A178-1)*12/Parameter!$B$3),_XLL.EDATUM(Parameter!$B$9,A178*12/Parameter!$B$3)),"")</f>
        <v>42732</v>
      </c>
      <c r="H178" s="47"/>
    </row>
    <row r="179" spans="1:8" s="46" customFormat="1" ht="12.75">
      <c r="A179" s="43">
        <v>178</v>
      </c>
      <c r="B179" s="44">
        <f>IF($D178&gt;0,IF($A179&gt;$G$2,$D178*Parameter!$B$8/Parameter!$B$3,$D178*Parameter!$B$2/Parameter!$B$3),0)</f>
        <v>1.8714947126227994</v>
      </c>
      <c r="C179" s="44">
        <f>IF($A178&gt;=$G$3,MIN(IF(AND($A179&gt;$G$2,Parameter!$E$9),Parameter!$E$7-Zahlungsplan!$B179,Parameter!$B$5-$B179),$D178),0)</f>
        <v>295.33850528737725</v>
      </c>
      <c r="D179" s="44">
        <f t="shared" si="5"/>
        <v>346.31682475472536</v>
      </c>
      <c r="E179" s="45">
        <f t="shared" si="4"/>
        <v>297.21000000000004</v>
      </c>
      <c r="F179" s="59">
        <f>IF($E179&gt;0,IF(Parameter!$B$10="vorschüssig",_XLL.EDATUM(Parameter!$B$9,(A179-1)*12/Parameter!$B$3),_XLL.EDATUM(Parameter!$B$9,A179*12/Parameter!$B$3)),"")</f>
        <v>42763</v>
      </c>
      <c r="H179" s="47"/>
    </row>
    <row r="180" spans="1:8" s="46" customFormat="1" ht="12.75">
      <c r="A180" s="43">
        <v>179</v>
      </c>
      <c r="B180" s="44">
        <f>IF($D179&gt;0,IF($A180&gt;$G$2,$D179*Parameter!$B$8/Parameter!$B$3,$D179*Parameter!$B$2/Parameter!$B$3),0)</f>
        <v>1.0100907388679492</v>
      </c>
      <c r="C180" s="44">
        <f>IF($A179&gt;=$G$3,MIN(IF(AND($A180&gt;$G$2,Parameter!$E$9),Parameter!$E$7-Zahlungsplan!$B180,Parameter!$B$5-$B180),$D179),0)</f>
        <v>296.19990926113206</v>
      </c>
      <c r="D180" s="44">
        <f t="shared" si="5"/>
        <v>50.1169154935933</v>
      </c>
      <c r="E180" s="45">
        <f t="shared" si="4"/>
        <v>297.21000000000004</v>
      </c>
      <c r="F180" s="59">
        <f>IF($E180&gt;0,IF(Parameter!$B$10="vorschüssig",_XLL.EDATUM(Parameter!$B$9,(A180-1)*12/Parameter!$B$3),_XLL.EDATUM(Parameter!$B$9,A180*12/Parameter!$B$3)),"")</f>
        <v>42794</v>
      </c>
      <c r="H180" s="47"/>
    </row>
    <row r="181" spans="1:8" s="46" customFormat="1" ht="12.75">
      <c r="A181" s="43">
        <v>180</v>
      </c>
      <c r="B181" s="44">
        <f>IF($D180&gt;0,IF($A181&gt;$G$2,$D180*Parameter!$B$8/Parameter!$B$3,$D180*Parameter!$B$2/Parameter!$B$3),0)</f>
        <v>0.14617433685631379</v>
      </c>
      <c r="C181" s="44">
        <f>IF($A180&gt;=$G$3,MIN(IF(AND($A181&gt;$G$2,Parameter!$E$9),Parameter!$E$7-Zahlungsplan!$B181,Parameter!$B$5-$B181),$D180),0)</f>
        <v>50.1169154935933</v>
      </c>
      <c r="D181" s="44">
        <f t="shared" si="5"/>
        <v>0</v>
      </c>
      <c r="E181" s="45">
        <f t="shared" si="4"/>
        <v>50.26308983044961</v>
      </c>
      <c r="F181" s="59">
        <f>IF($E181&gt;0,IF(Parameter!$B$10="vorschüssig",_XLL.EDATUM(Parameter!$B$9,(A181-1)*12/Parameter!$B$3),_XLL.EDATUM(Parameter!$B$9,A181*12/Parameter!$B$3)),"")</f>
        <v>42822</v>
      </c>
      <c r="H181" s="47"/>
    </row>
    <row r="182" spans="1:8" s="51" customFormat="1" ht="12.75">
      <c r="A182" s="48">
        <v>181</v>
      </c>
      <c r="B182" s="49">
        <f>IF($D181&gt;0,IF($A182&gt;$G$2,$D181*Parameter!$B$8/Parameter!$B$3,$D181*Parameter!$B$2/Parameter!$B$3),0)</f>
        <v>0</v>
      </c>
      <c r="C182" s="49">
        <f>IF($A181&gt;=$G$3,MIN(IF(AND($A182&gt;$G$2,Parameter!$E$9),Parameter!$E$7-Zahlungsplan!$B182,Parameter!$B$5-$B182),$D181),0)</f>
        <v>0</v>
      </c>
      <c r="D182" s="49">
        <f t="shared" si="5"/>
        <v>0</v>
      </c>
      <c r="E182" s="50">
        <f t="shared" si="4"/>
        <v>0</v>
      </c>
      <c r="F182" s="60">
        <f>IF($E182&gt;0,IF(Parameter!$B$10="vorschüssig",_XLL.EDATUM(Parameter!$B$9,(A182-1)*12/Parameter!$B$3),_XLL.EDATUM(Parameter!$B$9,A182*12/Parameter!$B$3)),"")</f>
      </c>
      <c r="H182" s="52"/>
    </row>
    <row r="183" spans="1:8" s="51" customFormat="1" ht="12.75">
      <c r="A183" s="48">
        <v>182</v>
      </c>
      <c r="B183" s="49">
        <f>IF($D182&gt;0,IF($A183&gt;$G$2,$D182*Parameter!$B$8/Parameter!$B$3,$D182*Parameter!$B$2/Parameter!$B$3),0)</f>
        <v>0</v>
      </c>
      <c r="C183" s="49">
        <f>IF($A182&gt;=$G$3,MIN(IF(AND($A183&gt;$G$2,Parameter!$E$9),Parameter!$E$7-Zahlungsplan!$B183,Parameter!$B$5-$B183),$D182),0)</f>
        <v>0</v>
      </c>
      <c r="D183" s="49">
        <f t="shared" si="5"/>
        <v>0</v>
      </c>
      <c r="E183" s="50">
        <f t="shared" si="4"/>
        <v>0</v>
      </c>
      <c r="F183" s="60">
        <f>IF($E183&gt;0,IF(Parameter!$B$10="vorschüssig",_XLL.EDATUM(Parameter!$B$9,(A183-1)*12/Parameter!$B$3),_XLL.EDATUM(Parameter!$B$9,A183*12/Parameter!$B$3)),"")</f>
      </c>
      <c r="H183" s="52"/>
    </row>
    <row r="184" spans="1:8" s="51" customFormat="1" ht="12.75">
      <c r="A184" s="48">
        <v>183</v>
      </c>
      <c r="B184" s="49">
        <f>IF($D183&gt;0,IF($A184&gt;$G$2,$D183*Parameter!$B$8/Parameter!$B$3,$D183*Parameter!$B$2/Parameter!$B$3),0)</f>
        <v>0</v>
      </c>
      <c r="C184" s="49">
        <f>IF($A183&gt;=$G$3,MIN(IF(AND($A184&gt;$G$2,Parameter!$E$9),Parameter!$E$7-Zahlungsplan!$B184,Parameter!$B$5-$B184),$D183),0)</f>
        <v>0</v>
      </c>
      <c r="D184" s="49">
        <f t="shared" si="5"/>
        <v>0</v>
      </c>
      <c r="E184" s="50">
        <f t="shared" si="4"/>
        <v>0</v>
      </c>
      <c r="F184" s="60">
        <f>IF($E184&gt;0,IF(Parameter!$B$10="vorschüssig",_XLL.EDATUM(Parameter!$B$9,(A184-1)*12/Parameter!$B$3),_XLL.EDATUM(Parameter!$B$9,A184*12/Parameter!$B$3)),"")</f>
      </c>
      <c r="H184" s="52"/>
    </row>
    <row r="185" spans="1:8" s="51" customFormat="1" ht="12.75">
      <c r="A185" s="48">
        <v>184</v>
      </c>
      <c r="B185" s="49">
        <f>IF($D184&gt;0,IF($A185&gt;$G$2,$D184*Parameter!$B$8/Parameter!$B$3,$D184*Parameter!$B$2/Parameter!$B$3),0)</f>
        <v>0</v>
      </c>
      <c r="C185" s="49">
        <f>IF($A184&gt;=$G$3,MIN(IF(AND($A185&gt;$G$2,Parameter!$E$9),Parameter!$E$7-Zahlungsplan!$B185,Parameter!$B$5-$B185),$D184),0)</f>
        <v>0</v>
      </c>
      <c r="D185" s="49">
        <f t="shared" si="5"/>
        <v>0</v>
      </c>
      <c r="E185" s="50">
        <f t="shared" si="4"/>
        <v>0</v>
      </c>
      <c r="F185" s="60">
        <f>IF($E185&gt;0,IF(Parameter!$B$10="vorschüssig",_XLL.EDATUM(Parameter!$B$9,(A185-1)*12/Parameter!$B$3),_XLL.EDATUM(Parameter!$B$9,A185*12/Parameter!$B$3)),"")</f>
      </c>
      <c r="H185" s="52"/>
    </row>
    <row r="186" spans="1:8" s="51" customFormat="1" ht="12.75">
      <c r="A186" s="48">
        <v>185</v>
      </c>
      <c r="B186" s="49">
        <f>IF($D185&gt;0,IF($A186&gt;$G$2,$D185*Parameter!$B$8/Parameter!$B$3,$D185*Parameter!$B$2/Parameter!$B$3),0)</f>
        <v>0</v>
      </c>
      <c r="C186" s="49">
        <f>IF($A185&gt;=$G$3,MIN(IF(AND($A186&gt;$G$2,Parameter!$E$9),Parameter!$E$7-Zahlungsplan!$B186,Parameter!$B$5-$B186),$D185),0)</f>
        <v>0</v>
      </c>
      <c r="D186" s="49">
        <f t="shared" si="5"/>
        <v>0</v>
      </c>
      <c r="E186" s="50">
        <f t="shared" si="4"/>
        <v>0</v>
      </c>
      <c r="F186" s="60">
        <f>IF($E186&gt;0,IF(Parameter!$B$10="vorschüssig",_XLL.EDATUM(Parameter!$B$9,(A186-1)*12/Parameter!$B$3),_XLL.EDATUM(Parameter!$B$9,A186*12/Parameter!$B$3)),"")</f>
      </c>
      <c r="H186" s="52"/>
    </row>
    <row r="187" spans="1:8" s="51" customFormat="1" ht="12.75">
      <c r="A187" s="48">
        <v>186</v>
      </c>
      <c r="B187" s="49">
        <f>IF($D186&gt;0,IF($A187&gt;$G$2,$D186*Parameter!$B$8/Parameter!$B$3,$D186*Parameter!$B$2/Parameter!$B$3),0)</f>
        <v>0</v>
      </c>
      <c r="C187" s="49">
        <f>IF($A186&gt;=$G$3,MIN(IF(AND($A187&gt;$G$2,Parameter!$E$9),Parameter!$E$7-Zahlungsplan!$B187,Parameter!$B$5-$B187),$D186),0)</f>
        <v>0</v>
      </c>
      <c r="D187" s="49">
        <f t="shared" si="5"/>
        <v>0</v>
      </c>
      <c r="E187" s="50">
        <f t="shared" si="4"/>
        <v>0</v>
      </c>
      <c r="F187" s="60">
        <f>IF($E187&gt;0,IF(Parameter!$B$10="vorschüssig",_XLL.EDATUM(Parameter!$B$9,(A187-1)*12/Parameter!$B$3),_XLL.EDATUM(Parameter!$B$9,A187*12/Parameter!$B$3)),"")</f>
      </c>
      <c r="H187" s="52"/>
    </row>
    <row r="188" spans="1:8" s="51" customFormat="1" ht="12.75">
      <c r="A188" s="48">
        <v>187</v>
      </c>
      <c r="B188" s="49">
        <f>IF($D187&gt;0,IF($A188&gt;$G$2,$D187*Parameter!$B$8/Parameter!$B$3,$D187*Parameter!$B$2/Parameter!$B$3),0)</f>
        <v>0</v>
      </c>
      <c r="C188" s="49">
        <f>IF($A187&gt;=$G$3,MIN(IF(AND($A188&gt;$G$2,Parameter!$E$9),Parameter!$E$7-Zahlungsplan!$B188,Parameter!$B$5-$B188),$D187),0)</f>
        <v>0</v>
      </c>
      <c r="D188" s="49">
        <f t="shared" si="5"/>
        <v>0</v>
      </c>
      <c r="E188" s="50">
        <f t="shared" si="4"/>
        <v>0</v>
      </c>
      <c r="F188" s="60">
        <f>IF($E188&gt;0,IF(Parameter!$B$10="vorschüssig",_XLL.EDATUM(Parameter!$B$9,(A188-1)*12/Parameter!$B$3),_XLL.EDATUM(Parameter!$B$9,A188*12/Parameter!$B$3)),"")</f>
      </c>
      <c r="H188" s="52"/>
    </row>
    <row r="189" spans="1:8" s="51" customFormat="1" ht="12.75">
      <c r="A189" s="48">
        <v>188</v>
      </c>
      <c r="B189" s="49">
        <f>IF($D188&gt;0,IF($A189&gt;$G$2,$D188*Parameter!$B$8/Parameter!$B$3,$D188*Parameter!$B$2/Parameter!$B$3),0)</f>
        <v>0</v>
      </c>
      <c r="C189" s="49">
        <f>IF($A188&gt;=$G$3,MIN(IF(AND($A189&gt;$G$2,Parameter!$E$9),Parameter!$E$7-Zahlungsplan!$B189,Parameter!$B$5-$B189),$D188),0)</f>
        <v>0</v>
      </c>
      <c r="D189" s="49">
        <f t="shared" si="5"/>
        <v>0</v>
      </c>
      <c r="E189" s="50">
        <f t="shared" si="4"/>
        <v>0</v>
      </c>
      <c r="F189" s="60">
        <f>IF($E189&gt;0,IF(Parameter!$B$10="vorschüssig",_XLL.EDATUM(Parameter!$B$9,(A189-1)*12/Parameter!$B$3),_XLL.EDATUM(Parameter!$B$9,A189*12/Parameter!$B$3)),"")</f>
      </c>
      <c r="H189" s="52"/>
    </row>
    <row r="190" spans="1:8" s="51" customFormat="1" ht="12.75">
      <c r="A190" s="48">
        <v>189</v>
      </c>
      <c r="B190" s="49">
        <f>IF($D189&gt;0,IF($A190&gt;$G$2,$D189*Parameter!$B$8/Parameter!$B$3,$D189*Parameter!$B$2/Parameter!$B$3),0)</f>
        <v>0</v>
      </c>
      <c r="C190" s="49">
        <f>IF($A189&gt;=$G$3,MIN(IF(AND($A190&gt;$G$2,Parameter!$E$9),Parameter!$E$7-Zahlungsplan!$B190,Parameter!$B$5-$B190),$D189),0)</f>
        <v>0</v>
      </c>
      <c r="D190" s="49">
        <f t="shared" si="5"/>
        <v>0</v>
      </c>
      <c r="E190" s="50">
        <f t="shared" si="4"/>
        <v>0</v>
      </c>
      <c r="F190" s="60">
        <f>IF($E190&gt;0,IF(Parameter!$B$10="vorschüssig",_XLL.EDATUM(Parameter!$B$9,(A190-1)*12/Parameter!$B$3),_XLL.EDATUM(Parameter!$B$9,A190*12/Parameter!$B$3)),"")</f>
      </c>
      <c r="H190" s="52"/>
    </row>
    <row r="191" spans="1:8" s="51" customFormat="1" ht="12.75">
      <c r="A191" s="48">
        <v>190</v>
      </c>
      <c r="B191" s="49">
        <f>IF($D190&gt;0,IF($A191&gt;$G$2,$D190*Parameter!$B$8/Parameter!$B$3,$D190*Parameter!$B$2/Parameter!$B$3),0)</f>
        <v>0</v>
      </c>
      <c r="C191" s="49">
        <f>IF($A190&gt;=$G$3,MIN(IF(AND($A191&gt;$G$2,Parameter!$E$9),Parameter!$E$7-Zahlungsplan!$B191,Parameter!$B$5-$B191),$D190),0)</f>
        <v>0</v>
      </c>
      <c r="D191" s="49">
        <f t="shared" si="5"/>
        <v>0</v>
      </c>
      <c r="E191" s="50">
        <f t="shared" si="4"/>
        <v>0</v>
      </c>
      <c r="F191" s="60">
        <f>IF($E191&gt;0,IF(Parameter!$B$10="vorschüssig",_XLL.EDATUM(Parameter!$B$9,(A191-1)*12/Parameter!$B$3),_XLL.EDATUM(Parameter!$B$9,A191*12/Parameter!$B$3)),"")</f>
      </c>
      <c r="H191" s="52"/>
    </row>
    <row r="192" spans="1:8" s="51" customFormat="1" ht="12.75">
      <c r="A192" s="48">
        <v>191</v>
      </c>
      <c r="B192" s="49">
        <f>IF($D191&gt;0,IF($A192&gt;$G$2,$D191*Parameter!$B$8/Parameter!$B$3,$D191*Parameter!$B$2/Parameter!$B$3),0)</f>
        <v>0</v>
      </c>
      <c r="C192" s="49">
        <f>IF($A191&gt;=$G$3,MIN(IF(AND($A192&gt;$G$2,Parameter!$E$9),Parameter!$E$7-Zahlungsplan!$B192,Parameter!$B$5-$B192),$D191),0)</f>
        <v>0</v>
      </c>
      <c r="D192" s="49">
        <f t="shared" si="5"/>
        <v>0</v>
      </c>
      <c r="E192" s="50">
        <f t="shared" si="4"/>
        <v>0</v>
      </c>
      <c r="F192" s="60">
        <f>IF($E192&gt;0,IF(Parameter!$B$10="vorschüssig",_XLL.EDATUM(Parameter!$B$9,(A192-1)*12/Parameter!$B$3),_XLL.EDATUM(Parameter!$B$9,A192*12/Parameter!$B$3)),"")</f>
      </c>
      <c r="H192" s="52"/>
    </row>
    <row r="193" spans="1:8" s="51" customFormat="1" ht="12.75">
      <c r="A193" s="48">
        <v>192</v>
      </c>
      <c r="B193" s="49">
        <f>IF($D192&gt;0,IF($A193&gt;$G$2,$D192*Parameter!$B$8/Parameter!$B$3,$D192*Parameter!$B$2/Parameter!$B$3),0)</f>
        <v>0</v>
      </c>
      <c r="C193" s="49">
        <f>IF($A192&gt;=$G$3,MIN(IF(AND($A193&gt;$G$2,Parameter!$E$9),Parameter!$E$7-Zahlungsplan!$B193,Parameter!$B$5-$B193),$D192),0)</f>
        <v>0</v>
      </c>
      <c r="D193" s="49">
        <f t="shared" si="5"/>
        <v>0</v>
      </c>
      <c r="E193" s="50">
        <f t="shared" si="4"/>
        <v>0</v>
      </c>
      <c r="F193" s="60">
        <f>IF($E193&gt;0,IF(Parameter!$B$10="vorschüssig",_XLL.EDATUM(Parameter!$B$9,(A193-1)*12/Parameter!$B$3),_XLL.EDATUM(Parameter!$B$9,A193*12/Parameter!$B$3)),"")</f>
      </c>
      <c r="H193" s="52"/>
    </row>
    <row r="194" spans="1:8" s="51" customFormat="1" ht="12.75">
      <c r="A194" s="48">
        <v>193</v>
      </c>
      <c r="B194" s="49">
        <f>IF($D193&gt;0,IF($A194&gt;$G$2,$D193*Parameter!$B$8/Parameter!$B$3,$D193*Parameter!$B$2/Parameter!$B$3),0)</f>
        <v>0</v>
      </c>
      <c r="C194" s="49">
        <f>IF($A193&gt;=$G$3,MIN(IF(AND($A194&gt;$G$2,Parameter!$E$9),Parameter!$E$7-Zahlungsplan!$B194,Parameter!$B$5-$B194),$D193),0)</f>
        <v>0</v>
      </c>
      <c r="D194" s="49">
        <f t="shared" si="5"/>
        <v>0</v>
      </c>
      <c r="E194" s="50">
        <f t="shared" si="4"/>
        <v>0</v>
      </c>
      <c r="F194" s="60">
        <f>IF($E194&gt;0,IF(Parameter!$B$10="vorschüssig",_XLL.EDATUM(Parameter!$B$9,(A194-1)*12/Parameter!$B$3),_XLL.EDATUM(Parameter!$B$9,A194*12/Parameter!$B$3)),"")</f>
      </c>
      <c r="H194" s="52"/>
    </row>
    <row r="195" spans="1:8" s="51" customFormat="1" ht="12.75">
      <c r="A195" s="48">
        <v>194</v>
      </c>
      <c r="B195" s="49">
        <f>IF($D194&gt;0,IF($A195&gt;$G$2,$D194*Parameter!$B$8/Parameter!$B$3,$D194*Parameter!$B$2/Parameter!$B$3),0)</f>
        <v>0</v>
      </c>
      <c r="C195" s="49">
        <f>IF($A194&gt;=$G$3,MIN(IF(AND($A195&gt;$G$2,Parameter!$E$9),Parameter!$E$7-Zahlungsplan!$B195,Parameter!$B$5-$B195),$D194),0)</f>
        <v>0</v>
      </c>
      <c r="D195" s="49">
        <f t="shared" si="5"/>
        <v>0</v>
      </c>
      <c r="E195" s="50">
        <f aca="true" t="shared" si="6" ref="E195:E258">$B195+$C195</f>
        <v>0</v>
      </c>
      <c r="F195" s="60">
        <f>IF($E195&gt;0,IF(Parameter!$B$10="vorschüssig",_XLL.EDATUM(Parameter!$B$9,(A195-1)*12/Parameter!$B$3),_XLL.EDATUM(Parameter!$B$9,A195*12/Parameter!$B$3)),"")</f>
      </c>
      <c r="H195" s="52"/>
    </row>
    <row r="196" spans="1:8" s="51" customFormat="1" ht="12.75">
      <c r="A196" s="48">
        <v>195</v>
      </c>
      <c r="B196" s="49">
        <f>IF($D195&gt;0,IF($A196&gt;$G$2,$D195*Parameter!$B$8/Parameter!$B$3,$D195*Parameter!$B$2/Parameter!$B$3),0)</f>
        <v>0</v>
      </c>
      <c r="C196" s="49">
        <f>IF($A195&gt;=$G$3,MIN(IF(AND($A196&gt;$G$2,Parameter!$E$9),Parameter!$E$7-Zahlungsplan!$B196,Parameter!$B$5-$B196),$D195),0)</f>
        <v>0</v>
      </c>
      <c r="D196" s="49">
        <f aca="true" t="shared" si="7" ref="D196:D259">$D195-$C196</f>
        <v>0</v>
      </c>
      <c r="E196" s="50">
        <f t="shared" si="6"/>
        <v>0</v>
      </c>
      <c r="F196" s="60">
        <f>IF($E196&gt;0,IF(Parameter!$B$10="vorschüssig",_XLL.EDATUM(Parameter!$B$9,(A196-1)*12/Parameter!$B$3),_XLL.EDATUM(Parameter!$B$9,A196*12/Parameter!$B$3)),"")</f>
      </c>
      <c r="H196" s="52"/>
    </row>
    <row r="197" spans="1:8" s="51" customFormat="1" ht="12.75">
      <c r="A197" s="48">
        <v>196</v>
      </c>
      <c r="B197" s="49">
        <f>IF($D196&gt;0,IF($A197&gt;$G$2,$D196*Parameter!$B$8/Parameter!$B$3,$D196*Parameter!$B$2/Parameter!$B$3),0)</f>
        <v>0</v>
      </c>
      <c r="C197" s="49">
        <f>IF($A196&gt;=$G$3,MIN(IF(AND($A197&gt;$G$2,Parameter!$E$9),Parameter!$E$7-Zahlungsplan!$B197,Parameter!$B$5-$B197),$D196),0)</f>
        <v>0</v>
      </c>
      <c r="D197" s="49">
        <f t="shared" si="7"/>
        <v>0</v>
      </c>
      <c r="E197" s="50">
        <f t="shared" si="6"/>
        <v>0</v>
      </c>
      <c r="F197" s="60">
        <f>IF($E197&gt;0,IF(Parameter!$B$10="vorschüssig",_XLL.EDATUM(Parameter!$B$9,(A197-1)*12/Parameter!$B$3),_XLL.EDATUM(Parameter!$B$9,A197*12/Parameter!$B$3)),"")</f>
      </c>
      <c r="H197" s="52"/>
    </row>
    <row r="198" spans="1:8" s="51" customFormat="1" ht="12.75">
      <c r="A198" s="48">
        <v>197</v>
      </c>
      <c r="B198" s="49">
        <f>IF($D197&gt;0,IF($A198&gt;$G$2,$D197*Parameter!$B$8/Parameter!$B$3,$D197*Parameter!$B$2/Parameter!$B$3),0)</f>
        <v>0</v>
      </c>
      <c r="C198" s="49">
        <f>IF($A197&gt;=$G$3,MIN(IF(AND($A198&gt;$G$2,Parameter!$E$9),Parameter!$E$7-Zahlungsplan!$B198,Parameter!$B$5-$B198),$D197),0)</f>
        <v>0</v>
      </c>
      <c r="D198" s="49">
        <f t="shared" si="7"/>
        <v>0</v>
      </c>
      <c r="E198" s="50">
        <f t="shared" si="6"/>
        <v>0</v>
      </c>
      <c r="F198" s="60">
        <f>IF($E198&gt;0,IF(Parameter!$B$10="vorschüssig",_XLL.EDATUM(Parameter!$B$9,(A198-1)*12/Parameter!$B$3),_XLL.EDATUM(Parameter!$B$9,A198*12/Parameter!$B$3)),"")</f>
      </c>
      <c r="H198" s="52"/>
    </row>
    <row r="199" spans="1:8" s="51" customFormat="1" ht="12.75">
      <c r="A199" s="48">
        <v>198</v>
      </c>
      <c r="B199" s="49">
        <f>IF($D198&gt;0,IF($A199&gt;$G$2,$D198*Parameter!$B$8/Parameter!$B$3,$D198*Parameter!$B$2/Parameter!$B$3),0)</f>
        <v>0</v>
      </c>
      <c r="C199" s="49">
        <f>IF($A198&gt;=$G$3,MIN(IF(AND($A199&gt;$G$2,Parameter!$E$9),Parameter!$E$7-Zahlungsplan!$B199,Parameter!$B$5-$B199),$D198),0)</f>
        <v>0</v>
      </c>
      <c r="D199" s="49">
        <f t="shared" si="7"/>
        <v>0</v>
      </c>
      <c r="E199" s="50">
        <f t="shared" si="6"/>
        <v>0</v>
      </c>
      <c r="F199" s="60">
        <f>IF($E199&gt;0,IF(Parameter!$B$10="vorschüssig",_XLL.EDATUM(Parameter!$B$9,(A199-1)*12/Parameter!$B$3),_XLL.EDATUM(Parameter!$B$9,A199*12/Parameter!$B$3)),"")</f>
      </c>
      <c r="H199" s="52"/>
    </row>
    <row r="200" spans="1:8" s="51" customFormat="1" ht="12.75">
      <c r="A200" s="48">
        <v>199</v>
      </c>
      <c r="B200" s="49">
        <f>IF($D199&gt;0,IF($A200&gt;$G$2,$D199*Parameter!$B$8/Parameter!$B$3,$D199*Parameter!$B$2/Parameter!$B$3),0)</f>
        <v>0</v>
      </c>
      <c r="C200" s="49">
        <f>IF($A199&gt;=$G$3,MIN(IF(AND($A200&gt;$G$2,Parameter!$E$9),Parameter!$E$7-Zahlungsplan!$B200,Parameter!$B$5-$B200),$D199),0)</f>
        <v>0</v>
      </c>
      <c r="D200" s="49">
        <f t="shared" si="7"/>
        <v>0</v>
      </c>
      <c r="E200" s="50">
        <f t="shared" si="6"/>
        <v>0</v>
      </c>
      <c r="F200" s="60">
        <f>IF($E200&gt;0,IF(Parameter!$B$10="vorschüssig",_XLL.EDATUM(Parameter!$B$9,(A200-1)*12/Parameter!$B$3),_XLL.EDATUM(Parameter!$B$9,A200*12/Parameter!$B$3)),"")</f>
      </c>
      <c r="H200" s="52"/>
    </row>
    <row r="201" spans="1:8" s="51" customFormat="1" ht="12.75">
      <c r="A201" s="48">
        <v>200</v>
      </c>
      <c r="B201" s="49">
        <f>IF($D200&gt;0,IF($A201&gt;$G$2,$D200*Parameter!$B$8/Parameter!$B$3,$D200*Parameter!$B$2/Parameter!$B$3),0)</f>
        <v>0</v>
      </c>
      <c r="C201" s="49">
        <f>IF($A200&gt;=$G$3,MIN(IF(AND($A201&gt;$G$2,Parameter!$E$9),Parameter!$E$7-Zahlungsplan!$B201,Parameter!$B$5-$B201),$D200),0)</f>
        <v>0</v>
      </c>
      <c r="D201" s="49">
        <f t="shared" si="7"/>
        <v>0</v>
      </c>
      <c r="E201" s="50">
        <f t="shared" si="6"/>
        <v>0</v>
      </c>
      <c r="F201" s="60">
        <f>IF($E201&gt;0,IF(Parameter!$B$10="vorschüssig",_XLL.EDATUM(Parameter!$B$9,(A201-1)*12/Parameter!$B$3),_XLL.EDATUM(Parameter!$B$9,A201*12/Parameter!$B$3)),"")</f>
      </c>
      <c r="H201" s="52"/>
    </row>
    <row r="202" spans="1:8" s="51" customFormat="1" ht="12.75">
      <c r="A202" s="48">
        <v>201</v>
      </c>
      <c r="B202" s="49">
        <f>IF($D201&gt;0,IF($A202&gt;$G$2,$D201*Parameter!$B$8/Parameter!$B$3,$D201*Parameter!$B$2/Parameter!$B$3),0)</f>
        <v>0</v>
      </c>
      <c r="C202" s="49">
        <f>IF($A201&gt;=$G$3,MIN(IF(AND($A202&gt;$G$2,Parameter!$E$9),Parameter!$E$7-Zahlungsplan!$B202,Parameter!$B$5-$B202),$D201),0)</f>
        <v>0</v>
      </c>
      <c r="D202" s="49">
        <f t="shared" si="7"/>
        <v>0</v>
      </c>
      <c r="E202" s="50">
        <f t="shared" si="6"/>
        <v>0</v>
      </c>
      <c r="F202" s="60">
        <f>IF($E202&gt;0,IF(Parameter!$B$10="vorschüssig",_XLL.EDATUM(Parameter!$B$9,(A202-1)*12/Parameter!$B$3),_XLL.EDATUM(Parameter!$B$9,A202*12/Parameter!$B$3)),"")</f>
      </c>
      <c r="H202" s="52"/>
    </row>
    <row r="203" spans="1:8" s="51" customFormat="1" ht="12.75">
      <c r="A203" s="48">
        <v>202</v>
      </c>
      <c r="B203" s="49">
        <f>IF($D202&gt;0,IF($A203&gt;$G$2,$D202*Parameter!$B$8/Parameter!$B$3,$D202*Parameter!$B$2/Parameter!$B$3),0)</f>
        <v>0</v>
      </c>
      <c r="C203" s="49">
        <f>IF($A202&gt;=$G$3,MIN(IF(AND($A203&gt;$G$2,Parameter!$E$9),Parameter!$E$7-Zahlungsplan!$B203,Parameter!$B$5-$B203),$D202),0)</f>
        <v>0</v>
      </c>
      <c r="D203" s="49">
        <f t="shared" si="7"/>
        <v>0</v>
      </c>
      <c r="E203" s="50">
        <f t="shared" si="6"/>
        <v>0</v>
      </c>
      <c r="F203" s="60">
        <f>IF($E203&gt;0,IF(Parameter!$B$10="vorschüssig",_XLL.EDATUM(Parameter!$B$9,(A203-1)*12/Parameter!$B$3),_XLL.EDATUM(Parameter!$B$9,A203*12/Parameter!$B$3)),"")</f>
      </c>
      <c r="H203" s="52"/>
    </row>
    <row r="204" spans="1:8" s="51" customFormat="1" ht="12.75">
      <c r="A204" s="48">
        <v>203</v>
      </c>
      <c r="B204" s="49">
        <f>IF($D203&gt;0,IF($A204&gt;$G$2,$D203*Parameter!$B$8/Parameter!$B$3,$D203*Parameter!$B$2/Parameter!$B$3),0)</f>
        <v>0</v>
      </c>
      <c r="C204" s="49">
        <f>IF($A203&gt;=$G$3,MIN(IF(AND($A204&gt;$G$2,Parameter!$E$9),Parameter!$E$7-Zahlungsplan!$B204,Parameter!$B$5-$B204),$D203),0)</f>
        <v>0</v>
      </c>
      <c r="D204" s="49">
        <f t="shared" si="7"/>
        <v>0</v>
      </c>
      <c r="E204" s="50">
        <f t="shared" si="6"/>
        <v>0</v>
      </c>
      <c r="F204" s="60">
        <f>IF($E204&gt;0,IF(Parameter!$B$10="vorschüssig",_XLL.EDATUM(Parameter!$B$9,(A204-1)*12/Parameter!$B$3),_XLL.EDATUM(Parameter!$B$9,A204*12/Parameter!$B$3)),"")</f>
      </c>
      <c r="H204" s="52"/>
    </row>
    <row r="205" spans="1:8" s="51" customFormat="1" ht="12.75">
      <c r="A205" s="48">
        <v>204</v>
      </c>
      <c r="B205" s="49">
        <f>IF($D204&gt;0,IF($A205&gt;$G$2,$D204*Parameter!$B$8/Parameter!$B$3,$D204*Parameter!$B$2/Parameter!$B$3),0)</f>
        <v>0</v>
      </c>
      <c r="C205" s="49">
        <f>IF($A204&gt;=$G$3,MIN(IF(AND($A205&gt;$G$2,Parameter!$E$9),Parameter!$E$7-Zahlungsplan!$B205,Parameter!$B$5-$B205),$D204),0)</f>
        <v>0</v>
      </c>
      <c r="D205" s="49">
        <f t="shared" si="7"/>
        <v>0</v>
      </c>
      <c r="E205" s="50">
        <f t="shared" si="6"/>
        <v>0</v>
      </c>
      <c r="F205" s="60">
        <f>IF($E205&gt;0,IF(Parameter!$B$10="vorschüssig",_XLL.EDATUM(Parameter!$B$9,(A205-1)*12/Parameter!$B$3),_XLL.EDATUM(Parameter!$B$9,A205*12/Parameter!$B$3)),"")</f>
      </c>
      <c r="H205" s="52"/>
    </row>
    <row r="206" spans="1:8" s="51" customFormat="1" ht="12.75">
      <c r="A206" s="48">
        <v>205</v>
      </c>
      <c r="B206" s="49">
        <f>IF($D205&gt;0,IF($A206&gt;$G$2,$D205*Parameter!$B$8/Parameter!$B$3,$D205*Parameter!$B$2/Parameter!$B$3),0)</f>
        <v>0</v>
      </c>
      <c r="C206" s="49">
        <f>IF($A205&gt;=$G$3,MIN(IF(AND($A206&gt;$G$2,Parameter!$E$9),Parameter!$E$7-Zahlungsplan!$B206,Parameter!$B$5-$B206),$D205),0)</f>
        <v>0</v>
      </c>
      <c r="D206" s="49">
        <f t="shared" si="7"/>
        <v>0</v>
      </c>
      <c r="E206" s="50">
        <f t="shared" si="6"/>
        <v>0</v>
      </c>
      <c r="F206" s="60">
        <f>IF($E206&gt;0,IF(Parameter!$B$10="vorschüssig",_XLL.EDATUM(Parameter!$B$9,(A206-1)*12/Parameter!$B$3),_XLL.EDATUM(Parameter!$B$9,A206*12/Parameter!$B$3)),"")</f>
      </c>
      <c r="H206" s="52"/>
    </row>
    <row r="207" spans="1:8" s="51" customFormat="1" ht="12.75">
      <c r="A207" s="48">
        <v>206</v>
      </c>
      <c r="B207" s="49">
        <f>IF($D206&gt;0,IF($A207&gt;$G$2,$D206*Parameter!$B$8/Parameter!$B$3,$D206*Parameter!$B$2/Parameter!$B$3),0)</f>
        <v>0</v>
      </c>
      <c r="C207" s="49">
        <f>IF($A206&gt;=$G$3,MIN(IF(AND($A207&gt;$G$2,Parameter!$E$9),Parameter!$E$7-Zahlungsplan!$B207,Parameter!$B$5-$B207),$D206),0)</f>
        <v>0</v>
      </c>
      <c r="D207" s="49">
        <f t="shared" si="7"/>
        <v>0</v>
      </c>
      <c r="E207" s="50">
        <f t="shared" si="6"/>
        <v>0</v>
      </c>
      <c r="F207" s="60">
        <f>IF($E207&gt;0,IF(Parameter!$B$10="vorschüssig",_XLL.EDATUM(Parameter!$B$9,(A207-1)*12/Parameter!$B$3),_XLL.EDATUM(Parameter!$B$9,A207*12/Parameter!$B$3)),"")</f>
      </c>
      <c r="H207" s="52"/>
    </row>
    <row r="208" spans="1:8" s="51" customFormat="1" ht="12.75">
      <c r="A208" s="48">
        <v>207</v>
      </c>
      <c r="B208" s="49">
        <f>IF($D207&gt;0,IF($A208&gt;$G$2,$D207*Parameter!$B$8/Parameter!$B$3,$D207*Parameter!$B$2/Parameter!$B$3),0)</f>
        <v>0</v>
      </c>
      <c r="C208" s="49">
        <f>IF($A207&gt;=$G$3,MIN(IF(AND($A208&gt;$G$2,Parameter!$E$9),Parameter!$E$7-Zahlungsplan!$B208,Parameter!$B$5-$B208),$D207),0)</f>
        <v>0</v>
      </c>
      <c r="D208" s="49">
        <f t="shared" si="7"/>
        <v>0</v>
      </c>
      <c r="E208" s="50">
        <f t="shared" si="6"/>
        <v>0</v>
      </c>
      <c r="F208" s="60">
        <f>IF($E208&gt;0,IF(Parameter!$B$10="vorschüssig",_XLL.EDATUM(Parameter!$B$9,(A208-1)*12/Parameter!$B$3),_XLL.EDATUM(Parameter!$B$9,A208*12/Parameter!$B$3)),"")</f>
      </c>
      <c r="H208" s="52"/>
    </row>
    <row r="209" spans="1:8" s="51" customFormat="1" ht="12.75">
      <c r="A209" s="48">
        <v>208</v>
      </c>
      <c r="B209" s="49">
        <f>IF($D208&gt;0,IF($A209&gt;$G$2,$D208*Parameter!$B$8/Parameter!$B$3,$D208*Parameter!$B$2/Parameter!$B$3),0)</f>
        <v>0</v>
      </c>
      <c r="C209" s="49">
        <f>IF($A208&gt;=$G$3,MIN(IF(AND($A209&gt;$G$2,Parameter!$E$9),Parameter!$E$7-Zahlungsplan!$B209,Parameter!$B$5-$B209),$D208),0)</f>
        <v>0</v>
      </c>
      <c r="D209" s="49">
        <f t="shared" si="7"/>
        <v>0</v>
      </c>
      <c r="E209" s="50">
        <f t="shared" si="6"/>
        <v>0</v>
      </c>
      <c r="F209" s="60">
        <f>IF($E209&gt;0,IF(Parameter!$B$10="vorschüssig",_XLL.EDATUM(Parameter!$B$9,(A209-1)*12/Parameter!$B$3),_XLL.EDATUM(Parameter!$B$9,A209*12/Parameter!$B$3)),"")</f>
      </c>
      <c r="H209" s="52"/>
    </row>
    <row r="210" spans="1:8" s="51" customFormat="1" ht="12.75">
      <c r="A210" s="48">
        <v>209</v>
      </c>
      <c r="B210" s="49">
        <f>IF($D209&gt;0,IF($A210&gt;$G$2,$D209*Parameter!$B$8/Parameter!$B$3,$D209*Parameter!$B$2/Parameter!$B$3),0)</f>
        <v>0</v>
      </c>
      <c r="C210" s="49">
        <f>IF($A209&gt;=$G$3,MIN(IF(AND($A210&gt;$G$2,Parameter!$E$9),Parameter!$E$7-Zahlungsplan!$B210,Parameter!$B$5-$B210),$D209),0)</f>
        <v>0</v>
      </c>
      <c r="D210" s="49">
        <f t="shared" si="7"/>
        <v>0</v>
      </c>
      <c r="E210" s="50">
        <f t="shared" si="6"/>
        <v>0</v>
      </c>
      <c r="F210" s="60">
        <f>IF($E210&gt;0,IF(Parameter!$B$10="vorschüssig",_XLL.EDATUM(Parameter!$B$9,(A210-1)*12/Parameter!$B$3),_XLL.EDATUM(Parameter!$B$9,A210*12/Parameter!$B$3)),"")</f>
      </c>
      <c r="H210" s="52"/>
    </row>
    <row r="211" spans="1:8" s="51" customFormat="1" ht="12.75">
      <c r="A211" s="48">
        <v>210</v>
      </c>
      <c r="B211" s="49">
        <f>IF($D210&gt;0,IF($A211&gt;$G$2,$D210*Parameter!$B$8/Parameter!$B$3,$D210*Parameter!$B$2/Parameter!$B$3),0)</f>
        <v>0</v>
      </c>
      <c r="C211" s="49">
        <f>IF($A210&gt;=$G$3,MIN(IF(AND($A211&gt;$G$2,Parameter!$E$9),Parameter!$E$7-Zahlungsplan!$B211,Parameter!$B$5-$B211),$D210),0)</f>
        <v>0</v>
      </c>
      <c r="D211" s="49">
        <f t="shared" si="7"/>
        <v>0</v>
      </c>
      <c r="E211" s="50">
        <f t="shared" si="6"/>
        <v>0</v>
      </c>
      <c r="F211" s="60">
        <f>IF($E211&gt;0,IF(Parameter!$B$10="vorschüssig",_XLL.EDATUM(Parameter!$B$9,(A211-1)*12/Parameter!$B$3),_XLL.EDATUM(Parameter!$B$9,A211*12/Parameter!$B$3)),"")</f>
      </c>
      <c r="H211" s="52"/>
    </row>
    <row r="212" spans="1:8" s="51" customFormat="1" ht="12.75">
      <c r="A212" s="48">
        <v>211</v>
      </c>
      <c r="B212" s="49">
        <f>IF($D211&gt;0,IF($A212&gt;$G$2,$D211*Parameter!$B$8/Parameter!$B$3,$D211*Parameter!$B$2/Parameter!$B$3),0)</f>
        <v>0</v>
      </c>
      <c r="C212" s="49">
        <f>IF($A211&gt;=$G$3,MIN(IF(AND($A212&gt;$G$2,Parameter!$E$9),Parameter!$E$7-Zahlungsplan!$B212,Parameter!$B$5-$B212),$D211),0)</f>
        <v>0</v>
      </c>
      <c r="D212" s="49">
        <f t="shared" si="7"/>
        <v>0</v>
      </c>
      <c r="E212" s="50">
        <f t="shared" si="6"/>
        <v>0</v>
      </c>
      <c r="F212" s="60">
        <f>IF($E212&gt;0,IF(Parameter!$B$10="vorschüssig",_XLL.EDATUM(Parameter!$B$9,(A212-1)*12/Parameter!$B$3),_XLL.EDATUM(Parameter!$B$9,A212*12/Parameter!$B$3)),"")</f>
      </c>
      <c r="H212" s="52"/>
    </row>
    <row r="213" spans="1:8" s="51" customFormat="1" ht="12.75">
      <c r="A213" s="48">
        <v>212</v>
      </c>
      <c r="B213" s="49">
        <f>IF($D212&gt;0,IF($A213&gt;$G$2,$D212*Parameter!$B$8/Parameter!$B$3,$D212*Parameter!$B$2/Parameter!$B$3),0)</f>
        <v>0</v>
      </c>
      <c r="C213" s="49">
        <f>IF($A212&gt;=$G$3,MIN(IF(AND($A213&gt;$G$2,Parameter!$E$9),Parameter!$E$7-Zahlungsplan!$B213,Parameter!$B$5-$B213),$D212),0)</f>
        <v>0</v>
      </c>
      <c r="D213" s="49">
        <f t="shared" si="7"/>
        <v>0</v>
      </c>
      <c r="E213" s="50">
        <f t="shared" si="6"/>
        <v>0</v>
      </c>
      <c r="F213" s="60">
        <f>IF($E213&gt;0,IF(Parameter!$B$10="vorschüssig",_XLL.EDATUM(Parameter!$B$9,(A213-1)*12/Parameter!$B$3),_XLL.EDATUM(Parameter!$B$9,A213*12/Parameter!$B$3)),"")</f>
      </c>
      <c r="H213" s="52"/>
    </row>
    <row r="214" spans="1:8" s="51" customFormat="1" ht="12.75">
      <c r="A214" s="48">
        <v>213</v>
      </c>
      <c r="B214" s="49">
        <f>IF($D213&gt;0,IF($A214&gt;$G$2,$D213*Parameter!$B$8/Parameter!$B$3,$D213*Parameter!$B$2/Parameter!$B$3),0)</f>
        <v>0</v>
      </c>
      <c r="C214" s="49">
        <f>IF($A213&gt;=$G$3,MIN(IF(AND($A214&gt;$G$2,Parameter!$E$9),Parameter!$E$7-Zahlungsplan!$B214,Parameter!$B$5-$B214),$D213),0)</f>
        <v>0</v>
      </c>
      <c r="D214" s="49">
        <f t="shared" si="7"/>
        <v>0</v>
      </c>
      <c r="E214" s="50">
        <f t="shared" si="6"/>
        <v>0</v>
      </c>
      <c r="F214" s="60">
        <f>IF($E214&gt;0,IF(Parameter!$B$10="vorschüssig",_XLL.EDATUM(Parameter!$B$9,(A214-1)*12/Parameter!$B$3),_XLL.EDATUM(Parameter!$B$9,A214*12/Parameter!$B$3)),"")</f>
      </c>
      <c r="H214" s="52"/>
    </row>
    <row r="215" spans="1:8" s="51" customFormat="1" ht="12.75">
      <c r="A215" s="48">
        <v>214</v>
      </c>
      <c r="B215" s="49">
        <f>IF($D214&gt;0,IF($A215&gt;$G$2,$D214*Parameter!$B$8/Parameter!$B$3,$D214*Parameter!$B$2/Parameter!$B$3),0)</f>
        <v>0</v>
      </c>
      <c r="C215" s="49">
        <f>IF($A214&gt;=$G$3,MIN(IF(AND($A215&gt;$G$2,Parameter!$E$9),Parameter!$E$7-Zahlungsplan!$B215,Parameter!$B$5-$B215),$D214),0)</f>
        <v>0</v>
      </c>
      <c r="D215" s="49">
        <f t="shared" si="7"/>
        <v>0</v>
      </c>
      <c r="E215" s="50">
        <f t="shared" si="6"/>
        <v>0</v>
      </c>
      <c r="F215" s="60">
        <f>IF($E215&gt;0,IF(Parameter!$B$10="vorschüssig",_XLL.EDATUM(Parameter!$B$9,(A215-1)*12/Parameter!$B$3),_XLL.EDATUM(Parameter!$B$9,A215*12/Parameter!$B$3)),"")</f>
      </c>
      <c r="H215" s="52"/>
    </row>
    <row r="216" spans="1:8" s="51" customFormat="1" ht="12.75">
      <c r="A216" s="48">
        <v>215</v>
      </c>
      <c r="B216" s="49">
        <f>IF($D215&gt;0,IF($A216&gt;$G$2,$D215*Parameter!$B$8/Parameter!$B$3,$D215*Parameter!$B$2/Parameter!$B$3),0)</f>
        <v>0</v>
      </c>
      <c r="C216" s="49">
        <f>IF($A215&gt;=$G$3,MIN(IF(AND($A216&gt;$G$2,Parameter!$E$9),Parameter!$E$7-Zahlungsplan!$B216,Parameter!$B$5-$B216),$D215),0)</f>
        <v>0</v>
      </c>
      <c r="D216" s="49">
        <f t="shared" si="7"/>
        <v>0</v>
      </c>
      <c r="E216" s="50">
        <f t="shared" si="6"/>
        <v>0</v>
      </c>
      <c r="F216" s="60">
        <f>IF($E216&gt;0,IF(Parameter!$B$10="vorschüssig",_XLL.EDATUM(Parameter!$B$9,(A216-1)*12/Parameter!$B$3),_XLL.EDATUM(Parameter!$B$9,A216*12/Parameter!$B$3)),"")</f>
      </c>
      <c r="H216" s="52"/>
    </row>
    <row r="217" spans="1:8" s="51" customFormat="1" ht="12.75">
      <c r="A217" s="48">
        <v>216</v>
      </c>
      <c r="B217" s="49">
        <f>IF($D216&gt;0,IF($A217&gt;$G$2,$D216*Parameter!$B$8/Parameter!$B$3,$D216*Parameter!$B$2/Parameter!$B$3),0)</f>
        <v>0</v>
      </c>
      <c r="C217" s="49">
        <f>IF($A216&gt;=$G$3,MIN(IF(AND($A217&gt;$G$2,Parameter!$E$9),Parameter!$E$7-Zahlungsplan!$B217,Parameter!$B$5-$B217),$D216),0)</f>
        <v>0</v>
      </c>
      <c r="D217" s="49">
        <f t="shared" si="7"/>
        <v>0</v>
      </c>
      <c r="E217" s="50">
        <f t="shared" si="6"/>
        <v>0</v>
      </c>
      <c r="F217" s="60">
        <f>IF($E217&gt;0,IF(Parameter!$B$10="vorschüssig",_XLL.EDATUM(Parameter!$B$9,(A217-1)*12/Parameter!$B$3),_XLL.EDATUM(Parameter!$B$9,A217*12/Parameter!$B$3)),"")</f>
      </c>
      <c r="H217" s="52"/>
    </row>
    <row r="218" spans="1:8" s="51" customFormat="1" ht="12.75">
      <c r="A218" s="48">
        <v>217</v>
      </c>
      <c r="B218" s="49">
        <f>IF($D217&gt;0,IF($A218&gt;$G$2,$D217*Parameter!$B$8/Parameter!$B$3,$D217*Parameter!$B$2/Parameter!$B$3),0)</f>
        <v>0</v>
      </c>
      <c r="C218" s="49">
        <f>IF($A217&gt;=$G$3,MIN(IF(AND($A218&gt;$G$2,Parameter!$E$9),Parameter!$E$7-Zahlungsplan!$B218,Parameter!$B$5-$B218),$D217),0)</f>
        <v>0</v>
      </c>
      <c r="D218" s="49">
        <f t="shared" si="7"/>
        <v>0</v>
      </c>
      <c r="E218" s="50">
        <f t="shared" si="6"/>
        <v>0</v>
      </c>
      <c r="F218" s="60">
        <f>IF($E218&gt;0,IF(Parameter!$B$10="vorschüssig",_XLL.EDATUM(Parameter!$B$9,(A218-1)*12/Parameter!$B$3),_XLL.EDATUM(Parameter!$B$9,A218*12/Parameter!$B$3)),"")</f>
      </c>
      <c r="H218" s="52"/>
    </row>
    <row r="219" spans="1:8" s="51" customFormat="1" ht="12.75">
      <c r="A219" s="48">
        <v>218</v>
      </c>
      <c r="B219" s="49">
        <f>IF($D218&gt;0,IF($A219&gt;$G$2,$D218*Parameter!$B$8/Parameter!$B$3,$D218*Parameter!$B$2/Parameter!$B$3),0)</f>
        <v>0</v>
      </c>
      <c r="C219" s="49">
        <f>IF($A218&gt;=$G$3,MIN(IF(AND($A219&gt;$G$2,Parameter!$E$9),Parameter!$E$7-Zahlungsplan!$B219,Parameter!$B$5-$B219),$D218),0)</f>
        <v>0</v>
      </c>
      <c r="D219" s="49">
        <f t="shared" si="7"/>
        <v>0</v>
      </c>
      <c r="E219" s="50">
        <f t="shared" si="6"/>
        <v>0</v>
      </c>
      <c r="F219" s="60">
        <f>IF($E219&gt;0,IF(Parameter!$B$10="vorschüssig",_XLL.EDATUM(Parameter!$B$9,(A219-1)*12/Parameter!$B$3),_XLL.EDATUM(Parameter!$B$9,A219*12/Parameter!$B$3)),"")</f>
      </c>
      <c r="H219" s="52"/>
    </row>
    <row r="220" spans="1:8" s="51" customFormat="1" ht="12.75">
      <c r="A220" s="48">
        <v>219</v>
      </c>
      <c r="B220" s="49">
        <f>IF($D219&gt;0,IF($A220&gt;$G$2,$D219*Parameter!$B$8/Parameter!$B$3,$D219*Parameter!$B$2/Parameter!$B$3),0)</f>
        <v>0</v>
      </c>
      <c r="C220" s="49">
        <f>IF($A219&gt;=$G$3,MIN(IF(AND($A220&gt;$G$2,Parameter!$E$9),Parameter!$E$7-Zahlungsplan!$B220,Parameter!$B$5-$B220),$D219),0)</f>
        <v>0</v>
      </c>
      <c r="D220" s="49">
        <f t="shared" si="7"/>
        <v>0</v>
      </c>
      <c r="E220" s="50">
        <f t="shared" si="6"/>
        <v>0</v>
      </c>
      <c r="F220" s="60">
        <f>IF($E220&gt;0,IF(Parameter!$B$10="vorschüssig",_XLL.EDATUM(Parameter!$B$9,(A220-1)*12/Parameter!$B$3),_XLL.EDATUM(Parameter!$B$9,A220*12/Parameter!$B$3)),"")</f>
      </c>
      <c r="H220" s="52"/>
    </row>
    <row r="221" spans="1:8" s="51" customFormat="1" ht="12.75">
      <c r="A221" s="48">
        <v>220</v>
      </c>
      <c r="B221" s="49">
        <f>IF($D220&gt;0,IF($A221&gt;$G$2,$D220*Parameter!$B$8/Parameter!$B$3,$D220*Parameter!$B$2/Parameter!$B$3),0)</f>
        <v>0</v>
      </c>
      <c r="C221" s="49">
        <f>IF($A220&gt;=$G$3,MIN(IF(AND($A221&gt;$G$2,Parameter!$E$9),Parameter!$E$7-Zahlungsplan!$B221,Parameter!$B$5-$B221),$D220),0)</f>
        <v>0</v>
      </c>
      <c r="D221" s="49">
        <f t="shared" si="7"/>
        <v>0</v>
      </c>
      <c r="E221" s="50">
        <f t="shared" si="6"/>
        <v>0</v>
      </c>
      <c r="F221" s="60">
        <f>IF($E221&gt;0,IF(Parameter!$B$10="vorschüssig",_XLL.EDATUM(Parameter!$B$9,(A221-1)*12/Parameter!$B$3),_XLL.EDATUM(Parameter!$B$9,A221*12/Parameter!$B$3)),"")</f>
      </c>
      <c r="H221" s="52"/>
    </row>
    <row r="222" spans="1:8" s="51" customFormat="1" ht="12.75">
      <c r="A222" s="48">
        <v>221</v>
      </c>
      <c r="B222" s="49">
        <f>IF($D221&gt;0,IF($A222&gt;$G$2,$D221*Parameter!$B$8/Parameter!$B$3,$D221*Parameter!$B$2/Parameter!$B$3),0)</f>
        <v>0</v>
      </c>
      <c r="C222" s="49">
        <f>IF($A221&gt;=$G$3,MIN(IF(AND($A222&gt;$G$2,Parameter!$E$9),Parameter!$E$7-Zahlungsplan!$B222,Parameter!$B$5-$B222),$D221),0)</f>
        <v>0</v>
      </c>
      <c r="D222" s="49">
        <f t="shared" si="7"/>
        <v>0</v>
      </c>
      <c r="E222" s="50">
        <f t="shared" si="6"/>
        <v>0</v>
      </c>
      <c r="F222" s="60">
        <f>IF($E222&gt;0,IF(Parameter!$B$10="vorschüssig",_XLL.EDATUM(Parameter!$B$9,(A222-1)*12/Parameter!$B$3),_XLL.EDATUM(Parameter!$B$9,A222*12/Parameter!$B$3)),"")</f>
      </c>
      <c r="H222" s="52"/>
    </row>
    <row r="223" spans="1:8" s="51" customFormat="1" ht="12.75">
      <c r="A223" s="48">
        <v>222</v>
      </c>
      <c r="B223" s="49">
        <f>IF($D222&gt;0,IF($A223&gt;$G$2,$D222*Parameter!$B$8/Parameter!$B$3,$D222*Parameter!$B$2/Parameter!$B$3),0)</f>
        <v>0</v>
      </c>
      <c r="C223" s="49">
        <f>IF($A222&gt;=$G$3,MIN(IF(AND($A223&gt;$G$2,Parameter!$E$9),Parameter!$E$7-Zahlungsplan!$B223,Parameter!$B$5-$B223),$D222),0)</f>
        <v>0</v>
      </c>
      <c r="D223" s="49">
        <f t="shared" si="7"/>
        <v>0</v>
      </c>
      <c r="E223" s="50">
        <f t="shared" si="6"/>
        <v>0</v>
      </c>
      <c r="F223" s="60">
        <f>IF($E223&gt;0,IF(Parameter!$B$10="vorschüssig",_XLL.EDATUM(Parameter!$B$9,(A223-1)*12/Parameter!$B$3),_XLL.EDATUM(Parameter!$B$9,A223*12/Parameter!$B$3)),"")</f>
      </c>
      <c r="H223" s="52"/>
    </row>
    <row r="224" spans="1:8" s="51" customFormat="1" ht="12.75">
      <c r="A224" s="48">
        <v>223</v>
      </c>
      <c r="B224" s="49">
        <f>IF($D223&gt;0,IF($A224&gt;$G$2,$D223*Parameter!$B$8/Parameter!$B$3,$D223*Parameter!$B$2/Parameter!$B$3),0)</f>
        <v>0</v>
      </c>
      <c r="C224" s="49">
        <f>IF($A223&gt;=$G$3,MIN(IF(AND($A224&gt;$G$2,Parameter!$E$9),Parameter!$E$7-Zahlungsplan!$B224,Parameter!$B$5-$B224),$D223),0)</f>
        <v>0</v>
      </c>
      <c r="D224" s="49">
        <f t="shared" si="7"/>
        <v>0</v>
      </c>
      <c r="E224" s="50">
        <f t="shared" si="6"/>
        <v>0</v>
      </c>
      <c r="F224" s="60">
        <f>IF($E224&gt;0,IF(Parameter!$B$10="vorschüssig",_XLL.EDATUM(Parameter!$B$9,(A224-1)*12/Parameter!$B$3),_XLL.EDATUM(Parameter!$B$9,A224*12/Parameter!$B$3)),"")</f>
      </c>
      <c r="H224" s="52"/>
    </row>
    <row r="225" spans="1:8" s="51" customFormat="1" ht="12.75">
      <c r="A225" s="48">
        <v>224</v>
      </c>
      <c r="B225" s="49">
        <f>IF($D224&gt;0,IF($A225&gt;$G$2,$D224*Parameter!$B$8/Parameter!$B$3,$D224*Parameter!$B$2/Parameter!$B$3),0)</f>
        <v>0</v>
      </c>
      <c r="C225" s="49">
        <f>IF($A224&gt;=$G$3,MIN(IF(AND($A225&gt;$G$2,Parameter!$E$9),Parameter!$E$7-Zahlungsplan!$B225,Parameter!$B$5-$B225),$D224),0)</f>
        <v>0</v>
      </c>
      <c r="D225" s="49">
        <f t="shared" si="7"/>
        <v>0</v>
      </c>
      <c r="E225" s="50">
        <f t="shared" si="6"/>
        <v>0</v>
      </c>
      <c r="F225" s="60">
        <f>IF($E225&gt;0,IF(Parameter!$B$10="vorschüssig",_XLL.EDATUM(Parameter!$B$9,(A225-1)*12/Parameter!$B$3),_XLL.EDATUM(Parameter!$B$9,A225*12/Parameter!$B$3)),"")</f>
      </c>
      <c r="H225" s="52"/>
    </row>
    <row r="226" spans="1:8" s="51" customFormat="1" ht="12.75">
      <c r="A226" s="48">
        <v>225</v>
      </c>
      <c r="B226" s="49">
        <f>IF($D225&gt;0,IF($A226&gt;$G$2,$D225*Parameter!$B$8/Parameter!$B$3,$D225*Parameter!$B$2/Parameter!$B$3),0)</f>
        <v>0</v>
      </c>
      <c r="C226" s="49">
        <f>IF($A225&gt;=$G$3,MIN(IF(AND($A226&gt;$G$2,Parameter!$E$9),Parameter!$E$7-Zahlungsplan!$B226,Parameter!$B$5-$B226),$D225),0)</f>
        <v>0</v>
      </c>
      <c r="D226" s="49">
        <f t="shared" si="7"/>
        <v>0</v>
      </c>
      <c r="E226" s="50">
        <f t="shared" si="6"/>
        <v>0</v>
      </c>
      <c r="F226" s="60">
        <f>IF($E226&gt;0,IF(Parameter!$B$10="vorschüssig",_XLL.EDATUM(Parameter!$B$9,(A226-1)*12/Parameter!$B$3),_XLL.EDATUM(Parameter!$B$9,A226*12/Parameter!$B$3)),"")</f>
      </c>
      <c r="H226" s="52"/>
    </row>
    <row r="227" spans="1:8" s="51" customFormat="1" ht="12.75">
      <c r="A227" s="48">
        <v>226</v>
      </c>
      <c r="B227" s="49">
        <f>IF($D226&gt;0,IF($A227&gt;$G$2,$D226*Parameter!$B$8/Parameter!$B$3,$D226*Parameter!$B$2/Parameter!$B$3),0)</f>
        <v>0</v>
      </c>
      <c r="C227" s="49">
        <f>IF($A226&gt;=$G$3,MIN(IF(AND($A227&gt;$G$2,Parameter!$E$9),Parameter!$E$7-Zahlungsplan!$B227,Parameter!$B$5-$B227),$D226),0)</f>
        <v>0</v>
      </c>
      <c r="D227" s="49">
        <f t="shared" si="7"/>
        <v>0</v>
      </c>
      <c r="E227" s="50">
        <f t="shared" si="6"/>
        <v>0</v>
      </c>
      <c r="F227" s="60">
        <f>IF($E227&gt;0,IF(Parameter!$B$10="vorschüssig",_XLL.EDATUM(Parameter!$B$9,(A227-1)*12/Parameter!$B$3),_XLL.EDATUM(Parameter!$B$9,A227*12/Parameter!$B$3)),"")</f>
      </c>
      <c r="H227" s="52"/>
    </row>
    <row r="228" spans="1:8" s="51" customFormat="1" ht="12.75">
      <c r="A228" s="48">
        <v>227</v>
      </c>
      <c r="B228" s="49">
        <f>IF($D227&gt;0,IF($A228&gt;$G$2,$D227*Parameter!$B$8/Parameter!$B$3,$D227*Parameter!$B$2/Parameter!$B$3),0)</f>
        <v>0</v>
      </c>
      <c r="C228" s="49">
        <f>IF($A227&gt;=$G$3,MIN(IF(AND($A228&gt;$G$2,Parameter!$E$9),Parameter!$E$7-Zahlungsplan!$B228,Parameter!$B$5-$B228),$D227),0)</f>
        <v>0</v>
      </c>
      <c r="D228" s="49">
        <f t="shared" si="7"/>
        <v>0</v>
      </c>
      <c r="E228" s="50">
        <f t="shared" si="6"/>
        <v>0</v>
      </c>
      <c r="F228" s="60">
        <f>IF($E228&gt;0,IF(Parameter!$B$10="vorschüssig",_XLL.EDATUM(Parameter!$B$9,(A228-1)*12/Parameter!$B$3),_XLL.EDATUM(Parameter!$B$9,A228*12/Parameter!$B$3)),"")</f>
      </c>
      <c r="H228" s="52"/>
    </row>
    <row r="229" spans="1:8" s="51" customFormat="1" ht="12.75">
      <c r="A229" s="48">
        <v>228</v>
      </c>
      <c r="B229" s="49">
        <f>IF($D228&gt;0,IF($A229&gt;$G$2,$D228*Parameter!$B$8/Parameter!$B$3,$D228*Parameter!$B$2/Parameter!$B$3),0)</f>
        <v>0</v>
      </c>
      <c r="C229" s="49">
        <f>IF($A228&gt;=$G$3,MIN(IF(AND($A229&gt;$G$2,Parameter!$E$9),Parameter!$E$7-Zahlungsplan!$B229,Parameter!$B$5-$B229),$D228),0)</f>
        <v>0</v>
      </c>
      <c r="D229" s="49">
        <f t="shared" si="7"/>
        <v>0</v>
      </c>
      <c r="E229" s="50">
        <f t="shared" si="6"/>
        <v>0</v>
      </c>
      <c r="F229" s="60">
        <f>IF($E229&gt;0,IF(Parameter!$B$10="vorschüssig",_XLL.EDATUM(Parameter!$B$9,(A229-1)*12/Parameter!$B$3),_XLL.EDATUM(Parameter!$B$9,A229*12/Parameter!$B$3)),"")</f>
      </c>
      <c r="H229" s="52"/>
    </row>
    <row r="230" spans="1:8" s="51" customFormat="1" ht="12.75">
      <c r="A230" s="48">
        <v>229</v>
      </c>
      <c r="B230" s="49">
        <f>IF($D229&gt;0,IF($A230&gt;$G$2,$D229*Parameter!$B$8/Parameter!$B$3,$D229*Parameter!$B$2/Parameter!$B$3),0)</f>
        <v>0</v>
      </c>
      <c r="C230" s="49">
        <f>IF($A229&gt;=$G$3,MIN(IF(AND($A230&gt;$G$2,Parameter!$E$9),Parameter!$E$7-Zahlungsplan!$B230,Parameter!$B$5-$B230),$D229),0)</f>
        <v>0</v>
      </c>
      <c r="D230" s="49">
        <f t="shared" si="7"/>
        <v>0</v>
      </c>
      <c r="E230" s="50">
        <f t="shared" si="6"/>
        <v>0</v>
      </c>
      <c r="F230" s="60">
        <f>IF($E230&gt;0,IF(Parameter!$B$10="vorschüssig",_XLL.EDATUM(Parameter!$B$9,(A230-1)*12/Parameter!$B$3),_XLL.EDATUM(Parameter!$B$9,A230*12/Parameter!$B$3)),"")</f>
      </c>
      <c r="H230" s="52"/>
    </row>
    <row r="231" spans="1:8" s="51" customFormat="1" ht="12.75">
      <c r="A231" s="48">
        <v>230</v>
      </c>
      <c r="B231" s="49">
        <f>IF($D230&gt;0,IF($A231&gt;$G$2,$D230*Parameter!$B$8/Parameter!$B$3,$D230*Parameter!$B$2/Parameter!$B$3),0)</f>
        <v>0</v>
      </c>
      <c r="C231" s="49">
        <f>IF($A230&gt;=$G$3,MIN(IF(AND($A231&gt;$G$2,Parameter!$E$9),Parameter!$E$7-Zahlungsplan!$B231,Parameter!$B$5-$B231),$D230),0)</f>
        <v>0</v>
      </c>
      <c r="D231" s="49">
        <f t="shared" si="7"/>
        <v>0</v>
      </c>
      <c r="E231" s="50">
        <f t="shared" si="6"/>
        <v>0</v>
      </c>
      <c r="F231" s="60">
        <f>IF($E231&gt;0,IF(Parameter!$B$10="vorschüssig",_XLL.EDATUM(Parameter!$B$9,(A231-1)*12/Parameter!$B$3),_XLL.EDATUM(Parameter!$B$9,A231*12/Parameter!$B$3)),"")</f>
      </c>
      <c r="H231" s="52"/>
    </row>
    <row r="232" spans="1:8" s="51" customFormat="1" ht="12.75">
      <c r="A232" s="48">
        <v>231</v>
      </c>
      <c r="B232" s="49">
        <f>IF($D231&gt;0,IF($A232&gt;$G$2,$D231*Parameter!$B$8/Parameter!$B$3,$D231*Parameter!$B$2/Parameter!$B$3),0)</f>
        <v>0</v>
      </c>
      <c r="C232" s="49">
        <f>IF($A231&gt;=$G$3,MIN(IF(AND($A232&gt;$G$2,Parameter!$E$9),Parameter!$E$7-Zahlungsplan!$B232,Parameter!$B$5-$B232),$D231),0)</f>
        <v>0</v>
      </c>
      <c r="D232" s="49">
        <f t="shared" si="7"/>
        <v>0</v>
      </c>
      <c r="E232" s="50">
        <f t="shared" si="6"/>
        <v>0</v>
      </c>
      <c r="F232" s="60">
        <f>IF($E232&gt;0,IF(Parameter!$B$10="vorschüssig",_XLL.EDATUM(Parameter!$B$9,(A232-1)*12/Parameter!$B$3),_XLL.EDATUM(Parameter!$B$9,A232*12/Parameter!$B$3)),"")</f>
      </c>
      <c r="H232" s="52"/>
    </row>
    <row r="233" spans="1:8" s="51" customFormat="1" ht="12.75">
      <c r="A233" s="48">
        <v>232</v>
      </c>
      <c r="B233" s="49">
        <f>IF($D232&gt;0,IF($A233&gt;$G$2,$D232*Parameter!$B$8/Parameter!$B$3,$D232*Parameter!$B$2/Parameter!$B$3),0)</f>
        <v>0</v>
      </c>
      <c r="C233" s="49">
        <f>IF($A232&gt;=$G$3,MIN(IF(AND($A233&gt;$G$2,Parameter!$E$9),Parameter!$E$7-Zahlungsplan!$B233,Parameter!$B$5-$B233),$D232),0)</f>
        <v>0</v>
      </c>
      <c r="D233" s="49">
        <f t="shared" si="7"/>
        <v>0</v>
      </c>
      <c r="E233" s="50">
        <f t="shared" si="6"/>
        <v>0</v>
      </c>
      <c r="F233" s="60">
        <f>IF($E233&gt;0,IF(Parameter!$B$10="vorschüssig",_XLL.EDATUM(Parameter!$B$9,(A233-1)*12/Parameter!$B$3),_XLL.EDATUM(Parameter!$B$9,A233*12/Parameter!$B$3)),"")</f>
      </c>
      <c r="H233" s="52"/>
    </row>
    <row r="234" spans="1:8" s="51" customFormat="1" ht="12.75">
      <c r="A234" s="48">
        <v>233</v>
      </c>
      <c r="B234" s="49">
        <f>IF($D233&gt;0,IF($A234&gt;$G$2,$D233*Parameter!$B$8/Parameter!$B$3,$D233*Parameter!$B$2/Parameter!$B$3),0)</f>
        <v>0</v>
      </c>
      <c r="C234" s="49">
        <f>IF($A233&gt;=$G$3,MIN(IF(AND($A234&gt;$G$2,Parameter!$E$9),Parameter!$E$7-Zahlungsplan!$B234,Parameter!$B$5-$B234),$D233),0)</f>
        <v>0</v>
      </c>
      <c r="D234" s="49">
        <f t="shared" si="7"/>
        <v>0</v>
      </c>
      <c r="E234" s="50">
        <f t="shared" si="6"/>
        <v>0</v>
      </c>
      <c r="F234" s="60">
        <f>IF($E234&gt;0,IF(Parameter!$B$10="vorschüssig",_XLL.EDATUM(Parameter!$B$9,(A234-1)*12/Parameter!$B$3),_XLL.EDATUM(Parameter!$B$9,A234*12/Parameter!$B$3)),"")</f>
      </c>
      <c r="H234" s="52"/>
    </row>
    <row r="235" spans="1:8" s="51" customFormat="1" ht="12.75">
      <c r="A235" s="48">
        <v>234</v>
      </c>
      <c r="B235" s="49">
        <f>IF($D234&gt;0,IF($A235&gt;$G$2,$D234*Parameter!$B$8/Parameter!$B$3,$D234*Parameter!$B$2/Parameter!$B$3),0)</f>
        <v>0</v>
      </c>
      <c r="C235" s="49">
        <f>IF($A234&gt;=$G$3,MIN(IF(AND($A235&gt;$G$2,Parameter!$E$9),Parameter!$E$7-Zahlungsplan!$B235,Parameter!$B$5-$B235),$D234),0)</f>
        <v>0</v>
      </c>
      <c r="D235" s="49">
        <f t="shared" si="7"/>
        <v>0</v>
      </c>
      <c r="E235" s="50">
        <f t="shared" si="6"/>
        <v>0</v>
      </c>
      <c r="F235" s="60">
        <f>IF($E235&gt;0,IF(Parameter!$B$10="vorschüssig",_XLL.EDATUM(Parameter!$B$9,(A235-1)*12/Parameter!$B$3),_XLL.EDATUM(Parameter!$B$9,A235*12/Parameter!$B$3)),"")</f>
      </c>
      <c r="H235" s="52"/>
    </row>
    <row r="236" spans="1:8" s="51" customFormat="1" ht="12.75">
      <c r="A236" s="48">
        <v>235</v>
      </c>
      <c r="B236" s="49">
        <f>IF($D235&gt;0,IF($A236&gt;$G$2,$D235*Parameter!$B$8/Parameter!$B$3,$D235*Parameter!$B$2/Parameter!$B$3),0)</f>
        <v>0</v>
      </c>
      <c r="C236" s="49">
        <f>IF($A235&gt;=$G$3,MIN(IF(AND($A236&gt;$G$2,Parameter!$E$9),Parameter!$E$7-Zahlungsplan!$B236,Parameter!$B$5-$B236),$D235),0)</f>
        <v>0</v>
      </c>
      <c r="D236" s="49">
        <f t="shared" si="7"/>
        <v>0</v>
      </c>
      <c r="E236" s="50">
        <f t="shared" si="6"/>
        <v>0</v>
      </c>
      <c r="F236" s="60">
        <f>IF($E236&gt;0,IF(Parameter!$B$10="vorschüssig",_XLL.EDATUM(Parameter!$B$9,(A236-1)*12/Parameter!$B$3),_XLL.EDATUM(Parameter!$B$9,A236*12/Parameter!$B$3)),"")</f>
      </c>
      <c r="H236" s="52"/>
    </row>
    <row r="237" spans="1:8" s="51" customFormat="1" ht="12.75">
      <c r="A237" s="48">
        <v>236</v>
      </c>
      <c r="B237" s="49">
        <f>IF($D236&gt;0,IF($A237&gt;$G$2,$D236*Parameter!$B$8/Parameter!$B$3,$D236*Parameter!$B$2/Parameter!$B$3),0)</f>
        <v>0</v>
      </c>
      <c r="C237" s="49">
        <f>IF($A236&gt;=$G$3,MIN(IF(AND($A237&gt;$G$2,Parameter!$E$9),Parameter!$E$7-Zahlungsplan!$B237,Parameter!$B$5-$B237),$D236),0)</f>
        <v>0</v>
      </c>
      <c r="D237" s="49">
        <f t="shared" si="7"/>
        <v>0</v>
      </c>
      <c r="E237" s="50">
        <f t="shared" si="6"/>
        <v>0</v>
      </c>
      <c r="F237" s="60">
        <f>IF($E237&gt;0,IF(Parameter!$B$10="vorschüssig",_XLL.EDATUM(Parameter!$B$9,(A237-1)*12/Parameter!$B$3),_XLL.EDATUM(Parameter!$B$9,A237*12/Parameter!$B$3)),"")</f>
      </c>
      <c r="H237" s="52"/>
    </row>
    <row r="238" spans="1:8" s="51" customFormat="1" ht="12.75">
      <c r="A238" s="48">
        <v>237</v>
      </c>
      <c r="B238" s="49">
        <f>IF($D237&gt;0,IF($A238&gt;$G$2,$D237*Parameter!$B$8/Parameter!$B$3,$D237*Parameter!$B$2/Parameter!$B$3),0)</f>
        <v>0</v>
      </c>
      <c r="C238" s="49">
        <f>IF($A237&gt;=$G$3,MIN(IF(AND($A238&gt;$G$2,Parameter!$E$9),Parameter!$E$7-Zahlungsplan!$B238,Parameter!$B$5-$B238),$D237),0)</f>
        <v>0</v>
      </c>
      <c r="D238" s="49">
        <f t="shared" si="7"/>
        <v>0</v>
      </c>
      <c r="E238" s="50">
        <f t="shared" si="6"/>
        <v>0</v>
      </c>
      <c r="F238" s="60">
        <f>IF($E238&gt;0,IF(Parameter!$B$10="vorschüssig",_XLL.EDATUM(Parameter!$B$9,(A238-1)*12/Parameter!$B$3),_XLL.EDATUM(Parameter!$B$9,A238*12/Parameter!$B$3)),"")</f>
      </c>
      <c r="H238" s="52"/>
    </row>
    <row r="239" spans="1:8" s="51" customFormat="1" ht="12.75">
      <c r="A239" s="48">
        <v>238</v>
      </c>
      <c r="B239" s="49">
        <f>IF($D238&gt;0,IF($A239&gt;$G$2,$D238*Parameter!$B$8/Parameter!$B$3,$D238*Parameter!$B$2/Parameter!$B$3),0)</f>
        <v>0</v>
      </c>
      <c r="C239" s="49">
        <f>IF($A238&gt;=$G$3,MIN(IF(AND($A239&gt;$G$2,Parameter!$E$9),Parameter!$E$7-Zahlungsplan!$B239,Parameter!$B$5-$B239),$D238),0)</f>
        <v>0</v>
      </c>
      <c r="D239" s="49">
        <f t="shared" si="7"/>
        <v>0</v>
      </c>
      <c r="E239" s="50">
        <f t="shared" si="6"/>
        <v>0</v>
      </c>
      <c r="F239" s="60">
        <f>IF($E239&gt;0,IF(Parameter!$B$10="vorschüssig",_XLL.EDATUM(Parameter!$B$9,(A239-1)*12/Parameter!$B$3),_XLL.EDATUM(Parameter!$B$9,A239*12/Parameter!$B$3)),"")</f>
      </c>
      <c r="H239" s="52"/>
    </row>
    <row r="240" spans="1:8" s="51" customFormat="1" ht="12.75">
      <c r="A240" s="48">
        <v>239</v>
      </c>
      <c r="B240" s="49">
        <f>IF($D239&gt;0,IF($A240&gt;$G$2,$D239*Parameter!$B$8/Parameter!$B$3,$D239*Parameter!$B$2/Parameter!$B$3),0)</f>
        <v>0</v>
      </c>
      <c r="C240" s="49">
        <f>IF($A239&gt;=$G$3,MIN(IF(AND($A240&gt;$G$2,Parameter!$E$9),Parameter!$E$7-Zahlungsplan!$B240,Parameter!$B$5-$B240),$D239),0)</f>
        <v>0</v>
      </c>
      <c r="D240" s="49">
        <f t="shared" si="7"/>
        <v>0</v>
      </c>
      <c r="E240" s="50">
        <f t="shared" si="6"/>
        <v>0</v>
      </c>
      <c r="F240" s="60">
        <f>IF($E240&gt;0,IF(Parameter!$B$10="vorschüssig",_XLL.EDATUM(Parameter!$B$9,(A240-1)*12/Parameter!$B$3),_XLL.EDATUM(Parameter!$B$9,A240*12/Parameter!$B$3)),"")</f>
      </c>
      <c r="H240" s="52"/>
    </row>
    <row r="241" spans="1:8" s="51" customFormat="1" ht="12.75">
      <c r="A241" s="48">
        <v>240</v>
      </c>
      <c r="B241" s="49">
        <f>IF($D240&gt;0,IF($A241&gt;$G$2,$D240*Parameter!$B$8/Parameter!$B$3,$D240*Parameter!$B$2/Parameter!$B$3),0)</f>
        <v>0</v>
      </c>
      <c r="C241" s="49">
        <f>IF($A240&gt;=$G$3,MIN(IF(AND($A241&gt;$G$2,Parameter!$E$9),Parameter!$E$7-Zahlungsplan!$B241,Parameter!$B$5-$B241),$D240),0)</f>
        <v>0</v>
      </c>
      <c r="D241" s="49">
        <f t="shared" si="7"/>
        <v>0</v>
      </c>
      <c r="E241" s="50">
        <f t="shared" si="6"/>
        <v>0</v>
      </c>
      <c r="F241" s="60">
        <f>IF($E241&gt;0,IF(Parameter!$B$10="vorschüssig",_XLL.EDATUM(Parameter!$B$9,(A241-1)*12/Parameter!$B$3),_XLL.EDATUM(Parameter!$B$9,A241*12/Parameter!$B$3)),"")</f>
      </c>
      <c r="H241" s="52"/>
    </row>
    <row r="242" spans="1:8" s="46" customFormat="1" ht="12.75">
      <c r="A242" s="43">
        <v>241</v>
      </c>
      <c r="B242" s="44">
        <f>IF($D241&gt;0,IF($A242&gt;$G$2,$D241*Parameter!$B$8/Parameter!$B$3,$D241*Parameter!$B$2/Parameter!$B$3),0)</f>
        <v>0</v>
      </c>
      <c r="C242" s="44">
        <f>IF($A241&gt;=$G$3,MIN(IF(AND($A242&gt;$G$2,Parameter!$E$9),Parameter!$E$7-Zahlungsplan!$B242,Parameter!$B$5-$B242),$D241),0)</f>
        <v>0</v>
      </c>
      <c r="D242" s="44">
        <f t="shared" si="7"/>
        <v>0</v>
      </c>
      <c r="E242" s="45">
        <f t="shared" si="6"/>
        <v>0</v>
      </c>
      <c r="F242" s="59">
        <f>IF($E242&gt;0,IF(Parameter!$B$10="vorschüssig",_XLL.EDATUM(Parameter!$B$9,(A242-1)*12/Parameter!$B$3),_XLL.EDATUM(Parameter!$B$9,A242*12/Parameter!$B$3)),"")</f>
      </c>
      <c r="H242" s="47"/>
    </row>
    <row r="243" spans="1:8" s="46" customFormat="1" ht="12.75">
      <c r="A243" s="43">
        <v>242</v>
      </c>
      <c r="B243" s="44">
        <f>IF($D242&gt;0,IF($A243&gt;$G$2,$D242*Parameter!$B$8/Parameter!$B$3,$D242*Parameter!$B$2/Parameter!$B$3),0)</f>
        <v>0</v>
      </c>
      <c r="C243" s="44">
        <f>IF($A242&gt;=$G$3,MIN(IF(AND($A243&gt;$G$2,Parameter!$E$9),Parameter!$E$7-Zahlungsplan!$B243,Parameter!$B$5-$B243),$D242),0)</f>
        <v>0</v>
      </c>
      <c r="D243" s="44">
        <f t="shared" si="7"/>
        <v>0</v>
      </c>
      <c r="E243" s="45">
        <f t="shared" si="6"/>
        <v>0</v>
      </c>
      <c r="F243" s="59">
        <f>IF($E243&gt;0,IF(Parameter!$B$10="vorschüssig",_XLL.EDATUM(Parameter!$B$9,(A243-1)*12/Parameter!$B$3),_XLL.EDATUM(Parameter!$B$9,A243*12/Parameter!$B$3)),"")</f>
      </c>
      <c r="H243" s="47"/>
    </row>
    <row r="244" spans="1:8" s="46" customFormat="1" ht="12.75">
      <c r="A244" s="43">
        <v>243</v>
      </c>
      <c r="B244" s="44">
        <f>IF($D243&gt;0,IF($A244&gt;$G$2,$D243*Parameter!$B$8/Parameter!$B$3,$D243*Parameter!$B$2/Parameter!$B$3),0)</f>
        <v>0</v>
      </c>
      <c r="C244" s="44">
        <f>IF($A243&gt;=$G$3,MIN(IF(AND($A244&gt;$G$2,Parameter!$E$9),Parameter!$E$7-Zahlungsplan!$B244,Parameter!$B$5-$B244),$D243),0)</f>
        <v>0</v>
      </c>
      <c r="D244" s="44">
        <f t="shared" si="7"/>
        <v>0</v>
      </c>
      <c r="E244" s="45">
        <f t="shared" si="6"/>
        <v>0</v>
      </c>
      <c r="F244" s="59">
        <f>IF($E244&gt;0,IF(Parameter!$B$10="vorschüssig",_XLL.EDATUM(Parameter!$B$9,(A244-1)*12/Parameter!$B$3),_XLL.EDATUM(Parameter!$B$9,A244*12/Parameter!$B$3)),"")</f>
      </c>
      <c r="H244" s="47"/>
    </row>
    <row r="245" spans="1:8" s="46" customFormat="1" ht="12.75">
      <c r="A245" s="43">
        <v>244</v>
      </c>
      <c r="B245" s="44">
        <f>IF($D244&gt;0,IF($A245&gt;$G$2,$D244*Parameter!$B$8/Parameter!$B$3,$D244*Parameter!$B$2/Parameter!$B$3),0)</f>
        <v>0</v>
      </c>
      <c r="C245" s="44">
        <f>IF($A244&gt;=$G$3,MIN(IF(AND($A245&gt;$G$2,Parameter!$E$9),Parameter!$E$7-Zahlungsplan!$B245,Parameter!$B$5-$B245),$D244),0)</f>
        <v>0</v>
      </c>
      <c r="D245" s="44">
        <f t="shared" si="7"/>
        <v>0</v>
      </c>
      <c r="E245" s="45">
        <f t="shared" si="6"/>
        <v>0</v>
      </c>
      <c r="F245" s="59">
        <f>IF($E245&gt;0,IF(Parameter!$B$10="vorschüssig",_XLL.EDATUM(Parameter!$B$9,(A245-1)*12/Parameter!$B$3),_XLL.EDATUM(Parameter!$B$9,A245*12/Parameter!$B$3)),"")</f>
      </c>
      <c r="H245" s="47"/>
    </row>
    <row r="246" spans="1:8" s="46" customFormat="1" ht="12.75">
      <c r="A246" s="43">
        <v>245</v>
      </c>
      <c r="B246" s="44">
        <f>IF($D245&gt;0,IF($A246&gt;$G$2,$D245*Parameter!$B$8/Parameter!$B$3,$D245*Parameter!$B$2/Parameter!$B$3),0)</f>
        <v>0</v>
      </c>
      <c r="C246" s="44">
        <f>IF($A245&gt;=$G$3,MIN(IF(AND($A246&gt;$G$2,Parameter!$E$9),Parameter!$E$7-Zahlungsplan!$B246,Parameter!$B$5-$B246),$D245),0)</f>
        <v>0</v>
      </c>
      <c r="D246" s="44">
        <f t="shared" si="7"/>
        <v>0</v>
      </c>
      <c r="E246" s="45">
        <f t="shared" si="6"/>
        <v>0</v>
      </c>
      <c r="F246" s="59">
        <f>IF($E246&gt;0,IF(Parameter!$B$10="vorschüssig",_XLL.EDATUM(Parameter!$B$9,(A246-1)*12/Parameter!$B$3),_XLL.EDATUM(Parameter!$B$9,A246*12/Parameter!$B$3)),"")</f>
      </c>
      <c r="H246" s="47"/>
    </row>
    <row r="247" spans="1:8" s="46" customFormat="1" ht="12.75">
      <c r="A247" s="43">
        <v>246</v>
      </c>
      <c r="B247" s="44">
        <f>IF($D246&gt;0,IF($A247&gt;$G$2,$D246*Parameter!$B$8/Parameter!$B$3,$D246*Parameter!$B$2/Parameter!$B$3),0)</f>
        <v>0</v>
      </c>
      <c r="C247" s="44">
        <f>IF($A246&gt;=$G$3,MIN(IF(AND($A247&gt;$G$2,Parameter!$E$9),Parameter!$E$7-Zahlungsplan!$B247,Parameter!$B$5-$B247),$D246),0)</f>
        <v>0</v>
      </c>
      <c r="D247" s="44">
        <f t="shared" si="7"/>
        <v>0</v>
      </c>
      <c r="E247" s="45">
        <f t="shared" si="6"/>
        <v>0</v>
      </c>
      <c r="F247" s="59">
        <f>IF($E247&gt;0,IF(Parameter!$B$10="vorschüssig",_XLL.EDATUM(Parameter!$B$9,(A247-1)*12/Parameter!$B$3),_XLL.EDATUM(Parameter!$B$9,A247*12/Parameter!$B$3)),"")</f>
      </c>
      <c r="H247" s="47"/>
    </row>
    <row r="248" spans="1:8" s="46" customFormat="1" ht="12.75">
      <c r="A248" s="43">
        <v>247</v>
      </c>
      <c r="B248" s="44">
        <f>IF($D247&gt;0,IF($A248&gt;$G$2,$D247*Parameter!$B$8/Parameter!$B$3,$D247*Parameter!$B$2/Parameter!$B$3),0)</f>
        <v>0</v>
      </c>
      <c r="C248" s="44">
        <f>IF($A247&gt;=$G$3,MIN(IF(AND($A248&gt;$G$2,Parameter!$E$9),Parameter!$E$7-Zahlungsplan!$B248,Parameter!$B$5-$B248),$D247),0)</f>
        <v>0</v>
      </c>
      <c r="D248" s="44">
        <f t="shared" si="7"/>
        <v>0</v>
      </c>
      <c r="E248" s="45">
        <f t="shared" si="6"/>
        <v>0</v>
      </c>
      <c r="F248" s="59">
        <f>IF($E248&gt;0,IF(Parameter!$B$10="vorschüssig",_XLL.EDATUM(Parameter!$B$9,(A248-1)*12/Parameter!$B$3),_XLL.EDATUM(Parameter!$B$9,A248*12/Parameter!$B$3)),"")</f>
      </c>
      <c r="H248" s="47"/>
    </row>
    <row r="249" spans="1:8" s="46" customFormat="1" ht="12.75">
      <c r="A249" s="43">
        <v>248</v>
      </c>
      <c r="B249" s="44">
        <f>IF($D248&gt;0,IF($A249&gt;$G$2,$D248*Parameter!$B$8/Parameter!$B$3,$D248*Parameter!$B$2/Parameter!$B$3),0)</f>
        <v>0</v>
      </c>
      <c r="C249" s="44">
        <f>IF($A248&gt;=$G$3,MIN(IF(AND($A249&gt;$G$2,Parameter!$E$9),Parameter!$E$7-Zahlungsplan!$B249,Parameter!$B$5-$B249),$D248),0)</f>
        <v>0</v>
      </c>
      <c r="D249" s="44">
        <f t="shared" si="7"/>
        <v>0</v>
      </c>
      <c r="E249" s="45">
        <f t="shared" si="6"/>
        <v>0</v>
      </c>
      <c r="F249" s="59">
        <f>IF($E249&gt;0,IF(Parameter!$B$10="vorschüssig",_XLL.EDATUM(Parameter!$B$9,(A249-1)*12/Parameter!$B$3),_XLL.EDATUM(Parameter!$B$9,A249*12/Parameter!$B$3)),"")</f>
      </c>
      <c r="H249" s="47"/>
    </row>
    <row r="250" spans="1:8" s="46" customFormat="1" ht="12.75">
      <c r="A250" s="43">
        <v>249</v>
      </c>
      <c r="B250" s="44">
        <f>IF($D249&gt;0,IF($A250&gt;$G$2,$D249*Parameter!$B$8/Parameter!$B$3,$D249*Parameter!$B$2/Parameter!$B$3),0)</f>
        <v>0</v>
      </c>
      <c r="C250" s="44">
        <f>IF($A249&gt;=$G$3,MIN(IF(AND($A250&gt;$G$2,Parameter!$E$9),Parameter!$E$7-Zahlungsplan!$B250,Parameter!$B$5-$B250),$D249),0)</f>
        <v>0</v>
      </c>
      <c r="D250" s="44">
        <f t="shared" si="7"/>
        <v>0</v>
      </c>
      <c r="E250" s="45">
        <f t="shared" si="6"/>
        <v>0</v>
      </c>
      <c r="F250" s="59">
        <f>IF($E250&gt;0,IF(Parameter!$B$10="vorschüssig",_XLL.EDATUM(Parameter!$B$9,(A250-1)*12/Parameter!$B$3),_XLL.EDATUM(Parameter!$B$9,A250*12/Parameter!$B$3)),"")</f>
      </c>
      <c r="H250" s="47"/>
    </row>
    <row r="251" spans="1:8" s="46" customFormat="1" ht="12.75">
      <c r="A251" s="43">
        <v>250</v>
      </c>
      <c r="B251" s="44">
        <f>IF($D250&gt;0,IF($A251&gt;$G$2,$D250*Parameter!$B$8/Parameter!$B$3,$D250*Parameter!$B$2/Parameter!$B$3),0)</f>
        <v>0</v>
      </c>
      <c r="C251" s="44">
        <f>IF($A250&gt;=$G$3,MIN(IF(AND($A251&gt;$G$2,Parameter!$E$9),Parameter!$E$7-Zahlungsplan!$B251,Parameter!$B$5-$B251),$D250),0)</f>
        <v>0</v>
      </c>
      <c r="D251" s="44">
        <f t="shared" si="7"/>
        <v>0</v>
      </c>
      <c r="E251" s="45">
        <f t="shared" si="6"/>
        <v>0</v>
      </c>
      <c r="F251" s="59">
        <f>IF($E251&gt;0,IF(Parameter!$B$10="vorschüssig",_XLL.EDATUM(Parameter!$B$9,(A251-1)*12/Parameter!$B$3),_XLL.EDATUM(Parameter!$B$9,A251*12/Parameter!$B$3)),"")</f>
      </c>
      <c r="H251" s="47"/>
    </row>
    <row r="252" spans="1:8" s="46" customFormat="1" ht="12.75">
      <c r="A252" s="43">
        <v>251</v>
      </c>
      <c r="B252" s="44">
        <f>IF($D251&gt;0,IF($A252&gt;$G$2,$D251*Parameter!$B$8/Parameter!$B$3,$D251*Parameter!$B$2/Parameter!$B$3),0)</f>
        <v>0</v>
      </c>
      <c r="C252" s="44">
        <f>IF($A251&gt;=$G$3,MIN(IF(AND($A252&gt;$G$2,Parameter!$E$9),Parameter!$E$7-Zahlungsplan!$B252,Parameter!$B$5-$B252),$D251),0)</f>
        <v>0</v>
      </c>
      <c r="D252" s="44">
        <f t="shared" si="7"/>
        <v>0</v>
      </c>
      <c r="E252" s="45">
        <f t="shared" si="6"/>
        <v>0</v>
      </c>
      <c r="F252" s="59">
        <f>IF($E252&gt;0,IF(Parameter!$B$10="vorschüssig",_XLL.EDATUM(Parameter!$B$9,(A252-1)*12/Parameter!$B$3),_XLL.EDATUM(Parameter!$B$9,A252*12/Parameter!$B$3)),"")</f>
      </c>
      <c r="H252" s="47"/>
    </row>
    <row r="253" spans="1:8" s="46" customFormat="1" ht="12.75">
      <c r="A253" s="43">
        <v>252</v>
      </c>
      <c r="B253" s="44">
        <f>IF($D252&gt;0,IF($A253&gt;$G$2,$D252*Parameter!$B$8/Parameter!$B$3,$D252*Parameter!$B$2/Parameter!$B$3),0)</f>
        <v>0</v>
      </c>
      <c r="C253" s="44">
        <f>IF($A252&gt;=$G$3,MIN(IF(AND($A253&gt;$G$2,Parameter!$E$9),Parameter!$E$7-Zahlungsplan!$B253,Parameter!$B$5-$B253),$D252),0)</f>
        <v>0</v>
      </c>
      <c r="D253" s="44">
        <f t="shared" si="7"/>
        <v>0</v>
      </c>
      <c r="E253" s="45">
        <f t="shared" si="6"/>
        <v>0</v>
      </c>
      <c r="F253" s="59">
        <f>IF($E253&gt;0,IF(Parameter!$B$10="vorschüssig",_XLL.EDATUM(Parameter!$B$9,(A253-1)*12/Parameter!$B$3),_XLL.EDATUM(Parameter!$B$9,A253*12/Parameter!$B$3)),"")</f>
      </c>
      <c r="H253" s="47"/>
    </row>
    <row r="254" spans="1:8" s="46" customFormat="1" ht="12.75">
      <c r="A254" s="43">
        <v>253</v>
      </c>
      <c r="B254" s="44">
        <f>IF($D253&gt;0,IF($A254&gt;$G$2,$D253*Parameter!$B$8/Parameter!$B$3,$D253*Parameter!$B$2/Parameter!$B$3),0)</f>
        <v>0</v>
      </c>
      <c r="C254" s="44">
        <f>IF($A253&gt;=$G$3,MIN(IF(AND($A254&gt;$G$2,Parameter!$E$9),Parameter!$E$7-Zahlungsplan!$B254,Parameter!$B$5-$B254),$D253),0)</f>
        <v>0</v>
      </c>
      <c r="D254" s="44">
        <f t="shared" si="7"/>
        <v>0</v>
      </c>
      <c r="E254" s="45">
        <f t="shared" si="6"/>
        <v>0</v>
      </c>
      <c r="F254" s="59">
        <f>IF($E254&gt;0,IF(Parameter!$B$10="vorschüssig",_XLL.EDATUM(Parameter!$B$9,(A254-1)*12/Parameter!$B$3),_XLL.EDATUM(Parameter!$B$9,A254*12/Parameter!$B$3)),"")</f>
      </c>
      <c r="H254" s="47"/>
    </row>
    <row r="255" spans="1:8" s="46" customFormat="1" ht="12.75">
      <c r="A255" s="43">
        <v>254</v>
      </c>
      <c r="B255" s="44">
        <f>IF($D254&gt;0,IF($A255&gt;$G$2,$D254*Parameter!$B$8/Parameter!$B$3,$D254*Parameter!$B$2/Parameter!$B$3),0)</f>
        <v>0</v>
      </c>
      <c r="C255" s="44">
        <f>IF($A254&gt;=$G$3,MIN(IF(AND($A255&gt;$G$2,Parameter!$E$9),Parameter!$E$7-Zahlungsplan!$B255,Parameter!$B$5-$B255),$D254),0)</f>
        <v>0</v>
      </c>
      <c r="D255" s="44">
        <f t="shared" si="7"/>
        <v>0</v>
      </c>
      <c r="E255" s="45">
        <f t="shared" si="6"/>
        <v>0</v>
      </c>
      <c r="F255" s="59">
        <f>IF($E255&gt;0,IF(Parameter!$B$10="vorschüssig",_XLL.EDATUM(Parameter!$B$9,(A255-1)*12/Parameter!$B$3),_XLL.EDATUM(Parameter!$B$9,A255*12/Parameter!$B$3)),"")</f>
      </c>
      <c r="H255" s="47"/>
    </row>
    <row r="256" spans="1:8" s="46" customFormat="1" ht="12.75">
      <c r="A256" s="43">
        <v>255</v>
      </c>
      <c r="B256" s="44">
        <f>IF($D255&gt;0,IF($A256&gt;$G$2,$D255*Parameter!$B$8/Parameter!$B$3,$D255*Parameter!$B$2/Parameter!$B$3),0)</f>
        <v>0</v>
      </c>
      <c r="C256" s="44">
        <f>IF($A255&gt;=$G$3,MIN(IF(AND($A256&gt;$G$2,Parameter!$E$9),Parameter!$E$7-Zahlungsplan!$B256,Parameter!$B$5-$B256),$D255),0)</f>
        <v>0</v>
      </c>
      <c r="D256" s="44">
        <f t="shared" si="7"/>
        <v>0</v>
      </c>
      <c r="E256" s="45">
        <f t="shared" si="6"/>
        <v>0</v>
      </c>
      <c r="F256" s="59">
        <f>IF($E256&gt;0,IF(Parameter!$B$10="vorschüssig",_XLL.EDATUM(Parameter!$B$9,(A256-1)*12/Parameter!$B$3),_XLL.EDATUM(Parameter!$B$9,A256*12/Parameter!$B$3)),"")</f>
      </c>
      <c r="H256" s="47"/>
    </row>
    <row r="257" spans="1:8" s="46" customFormat="1" ht="12.75">
      <c r="A257" s="43">
        <v>256</v>
      </c>
      <c r="B257" s="44">
        <f>IF($D256&gt;0,IF($A257&gt;$G$2,$D256*Parameter!$B$8/Parameter!$B$3,$D256*Parameter!$B$2/Parameter!$B$3),0)</f>
        <v>0</v>
      </c>
      <c r="C257" s="44">
        <f>IF($A256&gt;=$G$3,MIN(IF(AND($A257&gt;$G$2,Parameter!$E$9),Parameter!$E$7-Zahlungsplan!$B257,Parameter!$B$5-$B257),$D256),0)</f>
        <v>0</v>
      </c>
      <c r="D257" s="44">
        <f t="shared" si="7"/>
        <v>0</v>
      </c>
      <c r="E257" s="45">
        <f t="shared" si="6"/>
        <v>0</v>
      </c>
      <c r="F257" s="59">
        <f>IF($E257&gt;0,IF(Parameter!$B$10="vorschüssig",_XLL.EDATUM(Parameter!$B$9,(A257-1)*12/Parameter!$B$3),_XLL.EDATUM(Parameter!$B$9,A257*12/Parameter!$B$3)),"")</f>
      </c>
      <c r="H257" s="47"/>
    </row>
    <row r="258" spans="1:8" s="46" customFormat="1" ht="12.75">
      <c r="A258" s="43">
        <v>257</v>
      </c>
      <c r="B258" s="44">
        <f>IF($D257&gt;0,IF($A258&gt;$G$2,$D257*Parameter!$B$8/Parameter!$B$3,$D257*Parameter!$B$2/Parameter!$B$3),0)</f>
        <v>0</v>
      </c>
      <c r="C258" s="44">
        <f>IF($A257&gt;=$G$3,MIN(IF(AND($A258&gt;$G$2,Parameter!$E$9),Parameter!$E$7-Zahlungsplan!$B258,Parameter!$B$5-$B258),$D257),0)</f>
        <v>0</v>
      </c>
      <c r="D258" s="44">
        <f t="shared" si="7"/>
        <v>0</v>
      </c>
      <c r="E258" s="45">
        <f t="shared" si="6"/>
        <v>0</v>
      </c>
      <c r="F258" s="59">
        <f>IF($E258&gt;0,IF(Parameter!$B$10="vorschüssig",_XLL.EDATUM(Parameter!$B$9,(A258-1)*12/Parameter!$B$3),_XLL.EDATUM(Parameter!$B$9,A258*12/Parameter!$B$3)),"")</f>
      </c>
      <c r="H258" s="47"/>
    </row>
    <row r="259" spans="1:8" s="46" customFormat="1" ht="12.75">
      <c r="A259" s="43">
        <v>258</v>
      </c>
      <c r="B259" s="44">
        <f>IF($D258&gt;0,IF($A259&gt;$G$2,$D258*Parameter!$B$8/Parameter!$B$3,$D258*Parameter!$B$2/Parameter!$B$3),0)</f>
        <v>0</v>
      </c>
      <c r="C259" s="44">
        <f>IF($A258&gt;=$G$3,MIN(IF(AND($A259&gt;$G$2,Parameter!$E$9),Parameter!$E$7-Zahlungsplan!$B259,Parameter!$B$5-$B259),$D258),0)</f>
        <v>0</v>
      </c>
      <c r="D259" s="44">
        <f t="shared" si="7"/>
        <v>0</v>
      </c>
      <c r="E259" s="45">
        <f aca="true" t="shared" si="8" ref="E259:E322">$B259+$C259</f>
        <v>0</v>
      </c>
      <c r="F259" s="59">
        <f>IF($E259&gt;0,IF(Parameter!$B$10="vorschüssig",_XLL.EDATUM(Parameter!$B$9,(A259-1)*12/Parameter!$B$3),_XLL.EDATUM(Parameter!$B$9,A259*12/Parameter!$B$3)),"")</f>
      </c>
      <c r="H259" s="47"/>
    </row>
    <row r="260" spans="1:8" s="46" customFormat="1" ht="12.75">
      <c r="A260" s="43">
        <v>259</v>
      </c>
      <c r="B260" s="44">
        <f>IF($D259&gt;0,IF($A260&gt;$G$2,$D259*Parameter!$B$8/Parameter!$B$3,$D259*Parameter!$B$2/Parameter!$B$3),0)</f>
        <v>0</v>
      </c>
      <c r="C260" s="44">
        <f>IF($A259&gt;=$G$3,MIN(IF(AND($A260&gt;$G$2,Parameter!$E$9),Parameter!$E$7-Zahlungsplan!$B260,Parameter!$B$5-$B260),$D259),0)</f>
        <v>0</v>
      </c>
      <c r="D260" s="44">
        <f aca="true" t="shared" si="9" ref="D260:D323">$D259-$C260</f>
        <v>0</v>
      </c>
      <c r="E260" s="45">
        <f t="shared" si="8"/>
        <v>0</v>
      </c>
      <c r="F260" s="59">
        <f>IF($E260&gt;0,IF(Parameter!$B$10="vorschüssig",_XLL.EDATUM(Parameter!$B$9,(A260-1)*12/Parameter!$B$3),_XLL.EDATUM(Parameter!$B$9,A260*12/Parameter!$B$3)),"")</f>
      </c>
      <c r="H260" s="47"/>
    </row>
    <row r="261" spans="1:8" s="46" customFormat="1" ht="12.75">
      <c r="A261" s="43">
        <v>260</v>
      </c>
      <c r="B261" s="44">
        <f>IF($D260&gt;0,IF($A261&gt;$G$2,$D260*Parameter!$B$8/Parameter!$B$3,$D260*Parameter!$B$2/Parameter!$B$3),0)</f>
        <v>0</v>
      </c>
      <c r="C261" s="44">
        <f>IF($A260&gt;=$G$3,MIN(IF(AND($A261&gt;$G$2,Parameter!$E$9),Parameter!$E$7-Zahlungsplan!$B261,Parameter!$B$5-$B261),$D260),0)</f>
        <v>0</v>
      </c>
      <c r="D261" s="44">
        <f t="shared" si="9"/>
        <v>0</v>
      </c>
      <c r="E261" s="45">
        <f t="shared" si="8"/>
        <v>0</v>
      </c>
      <c r="F261" s="59">
        <f>IF($E261&gt;0,IF(Parameter!$B$10="vorschüssig",_XLL.EDATUM(Parameter!$B$9,(A261-1)*12/Parameter!$B$3),_XLL.EDATUM(Parameter!$B$9,A261*12/Parameter!$B$3)),"")</f>
      </c>
      <c r="H261" s="47"/>
    </row>
    <row r="262" spans="1:8" s="46" customFormat="1" ht="12.75">
      <c r="A262" s="43">
        <v>261</v>
      </c>
      <c r="B262" s="44">
        <f>IF($D261&gt;0,IF($A262&gt;$G$2,$D261*Parameter!$B$8/Parameter!$B$3,$D261*Parameter!$B$2/Parameter!$B$3),0)</f>
        <v>0</v>
      </c>
      <c r="C262" s="44">
        <f>IF($A261&gt;=$G$3,MIN(IF(AND($A262&gt;$G$2,Parameter!$E$9),Parameter!$E$7-Zahlungsplan!$B262,Parameter!$B$5-$B262),$D261),0)</f>
        <v>0</v>
      </c>
      <c r="D262" s="44">
        <f t="shared" si="9"/>
        <v>0</v>
      </c>
      <c r="E262" s="45">
        <f t="shared" si="8"/>
        <v>0</v>
      </c>
      <c r="F262" s="59">
        <f>IF($E262&gt;0,IF(Parameter!$B$10="vorschüssig",_XLL.EDATUM(Parameter!$B$9,(A262-1)*12/Parameter!$B$3),_XLL.EDATUM(Parameter!$B$9,A262*12/Parameter!$B$3)),"")</f>
      </c>
      <c r="H262" s="47"/>
    </row>
    <row r="263" spans="1:8" s="46" customFormat="1" ht="12.75">
      <c r="A263" s="43">
        <v>262</v>
      </c>
      <c r="B263" s="44">
        <f>IF($D262&gt;0,IF($A263&gt;$G$2,$D262*Parameter!$B$8/Parameter!$B$3,$D262*Parameter!$B$2/Parameter!$B$3),0)</f>
        <v>0</v>
      </c>
      <c r="C263" s="44">
        <f>IF($A262&gt;=$G$3,MIN(IF(AND($A263&gt;$G$2,Parameter!$E$9),Parameter!$E$7-Zahlungsplan!$B263,Parameter!$B$5-$B263),$D262),0)</f>
        <v>0</v>
      </c>
      <c r="D263" s="44">
        <f t="shared" si="9"/>
        <v>0</v>
      </c>
      <c r="E263" s="45">
        <f t="shared" si="8"/>
        <v>0</v>
      </c>
      <c r="F263" s="59">
        <f>IF($E263&gt;0,IF(Parameter!$B$10="vorschüssig",_XLL.EDATUM(Parameter!$B$9,(A263-1)*12/Parameter!$B$3),_XLL.EDATUM(Parameter!$B$9,A263*12/Parameter!$B$3)),"")</f>
      </c>
      <c r="H263" s="47"/>
    </row>
    <row r="264" spans="1:8" s="46" customFormat="1" ht="12.75">
      <c r="A264" s="43">
        <v>263</v>
      </c>
      <c r="B264" s="44">
        <f>IF($D263&gt;0,IF($A264&gt;$G$2,$D263*Parameter!$B$8/Parameter!$B$3,$D263*Parameter!$B$2/Parameter!$B$3),0)</f>
        <v>0</v>
      </c>
      <c r="C264" s="44">
        <f>IF($A263&gt;=$G$3,MIN(IF(AND($A264&gt;$G$2,Parameter!$E$9),Parameter!$E$7-Zahlungsplan!$B264,Parameter!$B$5-$B264),$D263),0)</f>
        <v>0</v>
      </c>
      <c r="D264" s="44">
        <f t="shared" si="9"/>
        <v>0</v>
      </c>
      <c r="E264" s="45">
        <f t="shared" si="8"/>
        <v>0</v>
      </c>
      <c r="F264" s="59">
        <f>IF($E264&gt;0,IF(Parameter!$B$10="vorschüssig",_XLL.EDATUM(Parameter!$B$9,(A264-1)*12/Parameter!$B$3),_XLL.EDATUM(Parameter!$B$9,A264*12/Parameter!$B$3)),"")</f>
      </c>
      <c r="H264" s="47"/>
    </row>
    <row r="265" spans="1:8" s="46" customFormat="1" ht="12.75">
      <c r="A265" s="43">
        <v>264</v>
      </c>
      <c r="B265" s="44">
        <f>IF($D264&gt;0,IF($A265&gt;$G$2,$D264*Parameter!$B$8/Parameter!$B$3,$D264*Parameter!$B$2/Parameter!$B$3),0)</f>
        <v>0</v>
      </c>
      <c r="C265" s="44">
        <f>IF($A264&gt;=$G$3,MIN(IF(AND($A265&gt;$G$2,Parameter!$E$9),Parameter!$E$7-Zahlungsplan!$B265,Parameter!$B$5-$B265),$D264),0)</f>
        <v>0</v>
      </c>
      <c r="D265" s="44">
        <f t="shared" si="9"/>
        <v>0</v>
      </c>
      <c r="E265" s="45">
        <f t="shared" si="8"/>
        <v>0</v>
      </c>
      <c r="F265" s="59">
        <f>IF($E265&gt;0,IF(Parameter!$B$10="vorschüssig",_XLL.EDATUM(Parameter!$B$9,(A265-1)*12/Parameter!$B$3),_XLL.EDATUM(Parameter!$B$9,A265*12/Parameter!$B$3)),"")</f>
      </c>
      <c r="H265" s="47"/>
    </row>
    <row r="266" spans="1:8" s="46" customFormat="1" ht="12.75">
      <c r="A266" s="43">
        <v>265</v>
      </c>
      <c r="B266" s="44">
        <f>IF($D265&gt;0,IF($A266&gt;$G$2,$D265*Parameter!$B$8/Parameter!$B$3,$D265*Parameter!$B$2/Parameter!$B$3),0)</f>
        <v>0</v>
      </c>
      <c r="C266" s="44">
        <f>IF($A265&gt;=$G$3,MIN(IF(AND($A266&gt;$G$2,Parameter!$E$9),Parameter!$E$7-Zahlungsplan!$B266,Parameter!$B$5-$B266),$D265),0)</f>
        <v>0</v>
      </c>
      <c r="D266" s="44">
        <f t="shared" si="9"/>
        <v>0</v>
      </c>
      <c r="E266" s="45">
        <f t="shared" si="8"/>
        <v>0</v>
      </c>
      <c r="F266" s="59">
        <f>IF($E266&gt;0,IF(Parameter!$B$10="vorschüssig",_XLL.EDATUM(Parameter!$B$9,(A266-1)*12/Parameter!$B$3),_XLL.EDATUM(Parameter!$B$9,A266*12/Parameter!$B$3)),"")</f>
      </c>
      <c r="H266" s="47"/>
    </row>
    <row r="267" spans="1:8" s="46" customFormat="1" ht="12.75">
      <c r="A267" s="43">
        <v>266</v>
      </c>
      <c r="B267" s="44">
        <f>IF($D266&gt;0,IF($A267&gt;$G$2,$D266*Parameter!$B$8/Parameter!$B$3,$D266*Parameter!$B$2/Parameter!$B$3),0)</f>
        <v>0</v>
      </c>
      <c r="C267" s="44">
        <f>IF($A266&gt;=$G$3,MIN(IF(AND($A267&gt;$G$2,Parameter!$E$9),Parameter!$E$7-Zahlungsplan!$B267,Parameter!$B$5-$B267),$D266),0)</f>
        <v>0</v>
      </c>
      <c r="D267" s="44">
        <f t="shared" si="9"/>
        <v>0</v>
      </c>
      <c r="E267" s="45">
        <f t="shared" si="8"/>
        <v>0</v>
      </c>
      <c r="F267" s="59">
        <f>IF($E267&gt;0,IF(Parameter!$B$10="vorschüssig",_XLL.EDATUM(Parameter!$B$9,(A267-1)*12/Parameter!$B$3),_XLL.EDATUM(Parameter!$B$9,A267*12/Parameter!$B$3)),"")</f>
      </c>
      <c r="H267" s="47"/>
    </row>
    <row r="268" spans="1:8" s="46" customFormat="1" ht="12.75">
      <c r="A268" s="43">
        <v>267</v>
      </c>
      <c r="B268" s="44">
        <f>IF($D267&gt;0,IF($A268&gt;$G$2,$D267*Parameter!$B$8/Parameter!$B$3,$D267*Parameter!$B$2/Parameter!$B$3),0)</f>
        <v>0</v>
      </c>
      <c r="C268" s="44">
        <f>IF($A267&gt;=$G$3,MIN(IF(AND($A268&gt;$G$2,Parameter!$E$9),Parameter!$E$7-Zahlungsplan!$B268,Parameter!$B$5-$B268),$D267),0)</f>
        <v>0</v>
      </c>
      <c r="D268" s="44">
        <f t="shared" si="9"/>
        <v>0</v>
      </c>
      <c r="E268" s="45">
        <f t="shared" si="8"/>
        <v>0</v>
      </c>
      <c r="F268" s="59">
        <f>IF($E268&gt;0,IF(Parameter!$B$10="vorschüssig",_XLL.EDATUM(Parameter!$B$9,(A268-1)*12/Parameter!$B$3),_XLL.EDATUM(Parameter!$B$9,A268*12/Parameter!$B$3)),"")</f>
      </c>
      <c r="H268" s="47"/>
    </row>
    <row r="269" spans="1:8" s="46" customFormat="1" ht="12.75">
      <c r="A269" s="43">
        <v>268</v>
      </c>
      <c r="B269" s="44">
        <f>IF($D268&gt;0,IF($A269&gt;$G$2,$D268*Parameter!$B$8/Parameter!$B$3,$D268*Parameter!$B$2/Parameter!$B$3),0)</f>
        <v>0</v>
      </c>
      <c r="C269" s="44">
        <f>IF($A268&gt;=$G$3,MIN(IF(AND($A269&gt;$G$2,Parameter!$E$9),Parameter!$E$7-Zahlungsplan!$B269,Parameter!$B$5-$B269),$D268),0)</f>
        <v>0</v>
      </c>
      <c r="D269" s="44">
        <f t="shared" si="9"/>
        <v>0</v>
      </c>
      <c r="E269" s="45">
        <f t="shared" si="8"/>
        <v>0</v>
      </c>
      <c r="F269" s="59">
        <f>IF($E269&gt;0,IF(Parameter!$B$10="vorschüssig",_XLL.EDATUM(Parameter!$B$9,(A269-1)*12/Parameter!$B$3),_XLL.EDATUM(Parameter!$B$9,A269*12/Parameter!$B$3)),"")</f>
      </c>
      <c r="H269" s="47"/>
    </row>
    <row r="270" spans="1:8" s="46" customFormat="1" ht="12.75">
      <c r="A270" s="43">
        <v>269</v>
      </c>
      <c r="B270" s="44">
        <f>IF($D269&gt;0,IF($A270&gt;$G$2,$D269*Parameter!$B$8/Parameter!$B$3,$D269*Parameter!$B$2/Parameter!$B$3),0)</f>
        <v>0</v>
      </c>
      <c r="C270" s="44">
        <f>IF($A269&gt;=$G$3,MIN(IF(AND($A270&gt;$G$2,Parameter!$E$9),Parameter!$E$7-Zahlungsplan!$B270,Parameter!$B$5-$B270),$D269),0)</f>
        <v>0</v>
      </c>
      <c r="D270" s="44">
        <f t="shared" si="9"/>
        <v>0</v>
      </c>
      <c r="E270" s="45">
        <f t="shared" si="8"/>
        <v>0</v>
      </c>
      <c r="F270" s="59">
        <f>IF($E270&gt;0,IF(Parameter!$B$10="vorschüssig",_XLL.EDATUM(Parameter!$B$9,(A270-1)*12/Parameter!$B$3),_XLL.EDATUM(Parameter!$B$9,A270*12/Parameter!$B$3)),"")</f>
      </c>
      <c r="H270" s="47"/>
    </row>
    <row r="271" spans="1:8" s="46" customFormat="1" ht="12.75">
      <c r="A271" s="43">
        <v>270</v>
      </c>
      <c r="B271" s="44">
        <f>IF($D270&gt;0,IF($A271&gt;$G$2,$D270*Parameter!$B$8/Parameter!$B$3,$D270*Parameter!$B$2/Parameter!$B$3),0)</f>
        <v>0</v>
      </c>
      <c r="C271" s="44">
        <f>IF($A270&gt;=$G$3,MIN(IF(AND($A271&gt;$G$2,Parameter!$E$9),Parameter!$E$7-Zahlungsplan!$B271,Parameter!$B$5-$B271),$D270),0)</f>
        <v>0</v>
      </c>
      <c r="D271" s="44">
        <f t="shared" si="9"/>
        <v>0</v>
      </c>
      <c r="E271" s="45">
        <f t="shared" si="8"/>
        <v>0</v>
      </c>
      <c r="F271" s="59">
        <f>IF($E271&gt;0,IF(Parameter!$B$10="vorschüssig",_XLL.EDATUM(Parameter!$B$9,(A271-1)*12/Parameter!$B$3),_XLL.EDATUM(Parameter!$B$9,A271*12/Parameter!$B$3)),"")</f>
      </c>
      <c r="H271" s="47"/>
    </row>
    <row r="272" spans="1:8" s="46" customFormat="1" ht="12.75">
      <c r="A272" s="43">
        <v>271</v>
      </c>
      <c r="B272" s="44">
        <f>IF($D271&gt;0,IF($A272&gt;$G$2,$D271*Parameter!$B$8/Parameter!$B$3,$D271*Parameter!$B$2/Parameter!$B$3),0)</f>
        <v>0</v>
      </c>
      <c r="C272" s="44">
        <f>IF($A271&gt;=$G$3,MIN(IF(AND($A272&gt;$G$2,Parameter!$E$9),Parameter!$E$7-Zahlungsplan!$B272,Parameter!$B$5-$B272),$D271),0)</f>
        <v>0</v>
      </c>
      <c r="D272" s="44">
        <f t="shared" si="9"/>
        <v>0</v>
      </c>
      <c r="E272" s="45">
        <f t="shared" si="8"/>
        <v>0</v>
      </c>
      <c r="F272" s="59">
        <f>IF($E272&gt;0,IF(Parameter!$B$10="vorschüssig",_XLL.EDATUM(Parameter!$B$9,(A272-1)*12/Parameter!$B$3),_XLL.EDATUM(Parameter!$B$9,A272*12/Parameter!$B$3)),"")</f>
      </c>
      <c r="H272" s="47"/>
    </row>
    <row r="273" spans="1:8" s="46" customFormat="1" ht="12.75">
      <c r="A273" s="43">
        <v>272</v>
      </c>
      <c r="B273" s="44">
        <f>IF($D272&gt;0,IF($A273&gt;$G$2,$D272*Parameter!$B$8/Parameter!$B$3,$D272*Parameter!$B$2/Parameter!$B$3),0)</f>
        <v>0</v>
      </c>
      <c r="C273" s="44">
        <f>IF($A272&gt;=$G$3,MIN(IF(AND($A273&gt;$G$2,Parameter!$E$9),Parameter!$E$7-Zahlungsplan!$B273,Parameter!$B$5-$B273),$D272),0)</f>
        <v>0</v>
      </c>
      <c r="D273" s="44">
        <f t="shared" si="9"/>
        <v>0</v>
      </c>
      <c r="E273" s="45">
        <f t="shared" si="8"/>
        <v>0</v>
      </c>
      <c r="F273" s="59">
        <f>IF($E273&gt;0,IF(Parameter!$B$10="vorschüssig",_XLL.EDATUM(Parameter!$B$9,(A273-1)*12/Parameter!$B$3),_XLL.EDATUM(Parameter!$B$9,A273*12/Parameter!$B$3)),"")</f>
      </c>
      <c r="H273" s="47"/>
    </row>
    <row r="274" spans="1:8" s="46" customFormat="1" ht="12.75">
      <c r="A274" s="43">
        <v>273</v>
      </c>
      <c r="B274" s="44">
        <f>IF($D273&gt;0,IF($A274&gt;$G$2,$D273*Parameter!$B$8/Parameter!$B$3,$D273*Parameter!$B$2/Parameter!$B$3),0)</f>
        <v>0</v>
      </c>
      <c r="C274" s="44">
        <f>IF($A273&gt;=$G$3,MIN(IF(AND($A274&gt;$G$2,Parameter!$E$9),Parameter!$E$7-Zahlungsplan!$B274,Parameter!$B$5-$B274),$D273),0)</f>
        <v>0</v>
      </c>
      <c r="D274" s="44">
        <f t="shared" si="9"/>
        <v>0</v>
      </c>
      <c r="E274" s="45">
        <f t="shared" si="8"/>
        <v>0</v>
      </c>
      <c r="F274" s="59">
        <f>IF($E274&gt;0,IF(Parameter!$B$10="vorschüssig",_XLL.EDATUM(Parameter!$B$9,(A274-1)*12/Parameter!$B$3),_XLL.EDATUM(Parameter!$B$9,A274*12/Parameter!$B$3)),"")</f>
      </c>
      <c r="H274" s="47"/>
    </row>
    <row r="275" spans="1:8" s="46" customFormat="1" ht="12.75">
      <c r="A275" s="43">
        <v>274</v>
      </c>
      <c r="B275" s="44">
        <f>IF($D274&gt;0,IF($A275&gt;$G$2,$D274*Parameter!$B$8/Parameter!$B$3,$D274*Parameter!$B$2/Parameter!$B$3),0)</f>
        <v>0</v>
      </c>
      <c r="C275" s="44">
        <f>IF($A274&gt;=$G$3,MIN(IF(AND($A275&gt;$G$2,Parameter!$E$9),Parameter!$E$7-Zahlungsplan!$B275,Parameter!$B$5-$B275),$D274),0)</f>
        <v>0</v>
      </c>
      <c r="D275" s="44">
        <f t="shared" si="9"/>
        <v>0</v>
      </c>
      <c r="E275" s="45">
        <f t="shared" si="8"/>
        <v>0</v>
      </c>
      <c r="F275" s="59">
        <f>IF($E275&gt;0,IF(Parameter!$B$10="vorschüssig",_XLL.EDATUM(Parameter!$B$9,(A275-1)*12/Parameter!$B$3),_XLL.EDATUM(Parameter!$B$9,A275*12/Parameter!$B$3)),"")</f>
      </c>
      <c r="H275" s="47"/>
    </row>
    <row r="276" spans="1:8" s="46" customFormat="1" ht="12.75">
      <c r="A276" s="43">
        <v>275</v>
      </c>
      <c r="B276" s="44">
        <f>IF($D275&gt;0,IF($A276&gt;$G$2,$D275*Parameter!$B$8/Parameter!$B$3,$D275*Parameter!$B$2/Parameter!$B$3),0)</f>
        <v>0</v>
      </c>
      <c r="C276" s="44">
        <f>IF($A275&gt;=$G$3,MIN(IF(AND($A276&gt;$G$2,Parameter!$E$9),Parameter!$E$7-Zahlungsplan!$B276,Parameter!$B$5-$B276),$D275),0)</f>
        <v>0</v>
      </c>
      <c r="D276" s="44">
        <f t="shared" si="9"/>
        <v>0</v>
      </c>
      <c r="E276" s="45">
        <f t="shared" si="8"/>
        <v>0</v>
      </c>
      <c r="F276" s="59">
        <f>IF($E276&gt;0,IF(Parameter!$B$10="vorschüssig",_XLL.EDATUM(Parameter!$B$9,(A276-1)*12/Parameter!$B$3),_XLL.EDATUM(Parameter!$B$9,A276*12/Parameter!$B$3)),"")</f>
      </c>
      <c r="H276" s="47"/>
    </row>
    <row r="277" spans="1:8" s="46" customFormat="1" ht="12.75">
      <c r="A277" s="43">
        <v>276</v>
      </c>
      <c r="B277" s="44">
        <f>IF($D276&gt;0,IF($A277&gt;$G$2,$D276*Parameter!$B$8/Parameter!$B$3,$D276*Parameter!$B$2/Parameter!$B$3),0)</f>
        <v>0</v>
      </c>
      <c r="C277" s="44">
        <f>IF($A276&gt;=$G$3,MIN(IF(AND($A277&gt;$G$2,Parameter!$E$9),Parameter!$E$7-Zahlungsplan!$B277,Parameter!$B$5-$B277),$D276),0)</f>
        <v>0</v>
      </c>
      <c r="D277" s="44">
        <f t="shared" si="9"/>
        <v>0</v>
      </c>
      <c r="E277" s="45">
        <f t="shared" si="8"/>
        <v>0</v>
      </c>
      <c r="F277" s="59">
        <f>IF($E277&gt;0,IF(Parameter!$B$10="vorschüssig",_XLL.EDATUM(Parameter!$B$9,(A277-1)*12/Parameter!$B$3),_XLL.EDATUM(Parameter!$B$9,A277*12/Parameter!$B$3)),"")</f>
      </c>
      <c r="H277" s="47"/>
    </row>
    <row r="278" spans="1:8" s="46" customFormat="1" ht="12.75">
      <c r="A278" s="43">
        <v>277</v>
      </c>
      <c r="B278" s="44">
        <f>IF($D277&gt;0,IF($A278&gt;$G$2,$D277*Parameter!$B$8/Parameter!$B$3,$D277*Parameter!$B$2/Parameter!$B$3),0)</f>
        <v>0</v>
      </c>
      <c r="C278" s="44">
        <f>IF($A277&gt;=$G$3,MIN(IF(AND($A278&gt;$G$2,Parameter!$E$9),Parameter!$E$7-Zahlungsplan!$B278,Parameter!$B$5-$B278),$D277),0)</f>
        <v>0</v>
      </c>
      <c r="D278" s="44">
        <f t="shared" si="9"/>
        <v>0</v>
      </c>
      <c r="E278" s="45">
        <f t="shared" si="8"/>
        <v>0</v>
      </c>
      <c r="F278" s="59">
        <f>IF($E278&gt;0,IF(Parameter!$B$10="vorschüssig",_XLL.EDATUM(Parameter!$B$9,(A278-1)*12/Parameter!$B$3),_XLL.EDATUM(Parameter!$B$9,A278*12/Parameter!$B$3)),"")</f>
      </c>
      <c r="H278" s="47"/>
    </row>
    <row r="279" spans="1:8" s="46" customFormat="1" ht="12.75">
      <c r="A279" s="43">
        <v>278</v>
      </c>
      <c r="B279" s="44">
        <f>IF($D278&gt;0,IF($A279&gt;$G$2,$D278*Parameter!$B$8/Parameter!$B$3,$D278*Parameter!$B$2/Parameter!$B$3),0)</f>
        <v>0</v>
      </c>
      <c r="C279" s="44">
        <f>IF($A278&gt;=$G$3,MIN(IF(AND($A279&gt;$G$2,Parameter!$E$9),Parameter!$E$7-Zahlungsplan!$B279,Parameter!$B$5-$B279),$D278),0)</f>
        <v>0</v>
      </c>
      <c r="D279" s="44">
        <f t="shared" si="9"/>
        <v>0</v>
      </c>
      <c r="E279" s="45">
        <f t="shared" si="8"/>
        <v>0</v>
      </c>
      <c r="F279" s="59">
        <f>IF($E279&gt;0,IF(Parameter!$B$10="vorschüssig",_XLL.EDATUM(Parameter!$B$9,(A279-1)*12/Parameter!$B$3),_XLL.EDATUM(Parameter!$B$9,A279*12/Parameter!$B$3)),"")</f>
      </c>
      <c r="H279" s="47"/>
    </row>
    <row r="280" spans="1:8" s="46" customFormat="1" ht="12.75">
      <c r="A280" s="43">
        <v>279</v>
      </c>
      <c r="B280" s="44">
        <f>IF($D279&gt;0,IF($A280&gt;$G$2,$D279*Parameter!$B$8/Parameter!$B$3,$D279*Parameter!$B$2/Parameter!$B$3),0)</f>
        <v>0</v>
      </c>
      <c r="C280" s="44">
        <f>IF($A279&gt;=$G$3,MIN(IF(AND($A280&gt;$G$2,Parameter!$E$9),Parameter!$E$7-Zahlungsplan!$B280,Parameter!$B$5-$B280),$D279),0)</f>
        <v>0</v>
      </c>
      <c r="D280" s="44">
        <f t="shared" si="9"/>
        <v>0</v>
      </c>
      <c r="E280" s="45">
        <f t="shared" si="8"/>
        <v>0</v>
      </c>
      <c r="F280" s="59">
        <f>IF($E280&gt;0,IF(Parameter!$B$10="vorschüssig",_XLL.EDATUM(Parameter!$B$9,(A280-1)*12/Parameter!$B$3),_XLL.EDATUM(Parameter!$B$9,A280*12/Parameter!$B$3)),"")</f>
      </c>
      <c r="H280" s="47"/>
    </row>
    <row r="281" spans="1:8" s="46" customFormat="1" ht="12.75">
      <c r="A281" s="43">
        <v>280</v>
      </c>
      <c r="B281" s="44">
        <f>IF($D280&gt;0,IF($A281&gt;$G$2,$D280*Parameter!$B$8/Parameter!$B$3,$D280*Parameter!$B$2/Parameter!$B$3),0)</f>
        <v>0</v>
      </c>
      <c r="C281" s="44">
        <f>IF($A280&gt;=$G$3,MIN(IF(AND($A281&gt;$G$2,Parameter!$E$9),Parameter!$E$7-Zahlungsplan!$B281,Parameter!$B$5-$B281),$D280),0)</f>
        <v>0</v>
      </c>
      <c r="D281" s="44">
        <f t="shared" si="9"/>
        <v>0</v>
      </c>
      <c r="E281" s="45">
        <f t="shared" si="8"/>
        <v>0</v>
      </c>
      <c r="F281" s="59">
        <f>IF($E281&gt;0,IF(Parameter!$B$10="vorschüssig",_XLL.EDATUM(Parameter!$B$9,(A281-1)*12/Parameter!$B$3),_XLL.EDATUM(Parameter!$B$9,A281*12/Parameter!$B$3)),"")</f>
      </c>
      <c r="H281" s="47"/>
    </row>
    <row r="282" spans="1:8" s="46" customFormat="1" ht="12.75">
      <c r="A282" s="43">
        <v>281</v>
      </c>
      <c r="B282" s="44">
        <f>IF($D281&gt;0,IF($A282&gt;$G$2,$D281*Parameter!$B$8/Parameter!$B$3,$D281*Parameter!$B$2/Parameter!$B$3),0)</f>
        <v>0</v>
      </c>
      <c r="C282" s="44">
        <f>IF($A281&gt;=$G$3,MIN(IF(AND($A282&gt;$G$2,Parameter!$E$9),Parameter!$E$7-Zahlungsplan!$B282,Parameter!$B$5-$B282),$D281),0)</f>
        <v>0</v>
      </c>
      <c r="D282" s="44">
        <f t="shared" si="9"/>
        <v>0</v>
      </c>
      <c r="E282" s="45">
        <f t="shared" si="8"/>
        <v>0</v>
      </c>
      <c r="F282" s="59">
        <f>IF($E282&gt;0,IF(Parameter!$B$10="vorschüssig",_XLL.EDATUM(Parameter!$B$9,(A282-1)*12/Parameter!$B$3),_XLL.EDATUM(Parameter!$B$9,A282*12/Parameter!$B$3)),"")</f>
      </c>
      <c r="H282" s="47"/>
    </row>
    <row r="283" spans="1:8" s="46" customFormat="1" ht="12.75">
      <c r="A283" s="43">
        <v>282</v>
      </c>
      <c r="B283" s="44">
        <f>IF($D282&gt;0,IF($A283&gt;$G$2,$D282*Parameter!$B$8/Parameter!$B$3,$D282*Parameter!$B$2/Parameter!$B$3),0)</f>
        <v>0</v>
      </c>
      <c r="C283" s="44">
        <f>IF($A282&gt;=$G$3,MIN(IF(AND($A283&gt;$G$2,Parameter!$E$9),Parameter!$E$7-Zahlungsplan!$B283,Parameter!$B$5-$B283),$D282),0)</f>
        <v>0</v>
      </c>
      <c r="D283" s="44">
        <f t="shared" si="9"/>
        <v>0</v>
      </c>
      <c r="E283" s="45">
        <f t="shared" si="8"/>
        <v>0</v>
      </c>
      <c r="F283" s="59">
        <f>IF($E283&gt;0,IF(Parameter!$B$10="vorschüssig",_XLL.EDATUM(Parameter!$B$9,(A283-1)*12/Parameter!$B$3),_XLL.EDATUM(Parameter!$B$9,A283*12/Parameter!$B$3)),"")</f>
      </c>
      <c r="H283" s="47"/>
    </row>
    <row r="284" spans="1:8" s="46" customFormat="1" ht="12.75">
      <c r="A284" s="43">
        <v>283</v>
      </c>
      <c r="B284" s="44">
        <f>IF($D283&gt;0,IF($A284&gt;$G$2,$D283*Parameter!$B$8/Parameter!$B$3,$D283*Parameter!$B$2/Parameter!$B$3),0)</f>
        <v>0</v>
      </c>
      <c r="C284" s="44">
        <f>IF($A283&gt;=$G$3,MIN(IF(AND($A284&gt;$G$2,Parameter!$E$9),Parameter!$E$7-Zahlungsplan!$B284,Parameter!$B$5-$B284),$D283),0)</f>
        <v>0</v>
      </c>
      <c r="D284" s="44">
        <f t="shared" si="9"/>
        <v>0</v>
      </c>
      <c r="E284" s="45">
        <f t="shared" si="8"/>
        <v>0</v>
      </c>
      <c r="F284" s="59">
        <f>IF($E284&gt;0,IF(Parameter!$B$10="vorschüssig",_XLL.EDATUM(Parameter!$B$9,(A284-1)*12/Parameter!$B$3),_XLL.EDATUM(Parameter!$B$9,A284*12/Parameter!$B$3)),"")</f>
      </c>
      <c r="H284" s="47"/>
    </row>
    <row r="285" spans="1:8" s="46" customFormat="1" ht="12.75">
      <c r="A285" s="43">
        <v>284</v>
      </c>
      <c r="B285" s="44">
        <f>IF($D284&gt;0,IF($A285&gt;$G$2,$D284*Parameter!$B$8/Parameter!$B$3,$D284*Parameter!$B$2/Parameter!$B$3),0)</f>
        <v>0</v>
      </c>
      <c r="C285" s="44">
        <f>IF($A284&gt;=$G$3,MIN(IF(AND($A285&gt;$G$2,Parameter!$E$9),Parameter!$E$7-Zahlungsplan!$B285,Parameter!$B$5-$B285),$D284),0)</f>
        <v>0</v>
      </c>
      <c r="D285" s="44">
        <f t="shared" si="9"/>
        <v>0</v>
      </c>
      <c r="E285" s="45">
        <f t="shared" si="8"/>
        <v>0</v>
      </c>
      <c r="F285" s="59">
        <f>IF($E285&gt;0,IF(Parameter!$B$10="vorschüssig",_XLL.EDATUM(Parameter!$B$9,(A285-1)*12/Parameter!$B$3),_XLL.EDATUM(Parameter!$B$9,A285*12/Parameter!$B$3)),"")</f>
      </c>
      <c r="H285" s="47"/>
    </row>
    <row r="286" spans="1:8" s="46" customFormat="1" ht="12.75">
      <c r="A286" s="43">
        <v>285</v>
      </c>
      <c r="B286" s="44">
        <f>IF($D285&gt;0,IF($A286&gt;$G$2,$D285*Parameter!$B$8/Parameter!$B$3,$D285*Parameter!$B$2/Parameter!$B$3),0)</f>
        <v>0</v>
      </c>
      <c r="C286" s="44">
        <f>IF($A285&gt;=$G$3,MIN(IF(AND($A286&gt;$G$2,Parameter!$E$9),Parameter!$E$7-Zahlungsplan!$B286,Parameter!$B$5-$B286),$D285),0)</f>
        <v>0</v>
      </c>
      <c r="D286" s="44">
        <f t="shared" si="9"/>
        <v>0</v>
      </c>
      <c r="E286" s="45">
        <f t="shared" si="8"/>
        <v>0</v>
      </c>
      <c r="F286" s="59">
        <f>IF($E286&gt;0,IF(Parameter!$B$10="vorschüssig",_XLL.EDATUM(Parameter!$B$9,(A286-1)*12/Parameter!$B$3),_XLL.EDATUM(Parameter!$B$9,A286*12/Parameter!$B$3)),"")</f>
      </c>
      <c r="H286" s="47"/>
    </row>
    <row r="287" spans="1:8" s="46" customFormat="1" ht="12.75">
      <c r="A287" s="43">
        <v>286</v>
      </c>
      <c r="B287" s="44">
        <f>IF($D286&gt;0,IF($A287&gt;$G$2,$D286*Parameter!$B$8/Parameter!$B$3,$D286*Parameter!$B$2/Parameter!$B$3),0)</f>
        <v>0</v>
      </c>
      <c r="C287" s="44">
        <f>IF($A286&gt;=$G$3,MIN(IF(AND($A287&gt;$G$2,Parameter!$E$9),Parameter!$E$7-Zahlungsplan!$B287,Parameter!$B$5-$B287),$D286),0)</f>
        <v>0</v>
      </c>
      <c r="D287" s="44">
        <f t="shared" si="9"/>
        <v>0</v>
      </c>
      <c r="E287" s="45">
        <f t="shared" si="8"/>
        <v>0</v>
      </c>
      <c r="F287" s="59">
        <f>IF($E287&gt;0,IF(Parameter!$B$10="vorschüssig",_XLL.EDATUM(Parameter!$B$9,(A287-1)*12/Parameter!$B$3),_XLL.EDATUM(Parameter!$B$9,A287*12/Parameter!$B$3)),"")</f>
      </c>
      <c r="H287" s="47"/>
    </row>
    <row r="288" spans="1:8" s="46" customFormat="1" ht="12.75">
      <c r="A288" s="43">
        <v>287</v>
      </c>
      <c r="B288" s="44">
        <f>IF($D287&gt;0,IF($A288&gt;$G$2,$D287*Parameter!$B$8/Parameter!$B$3,$D287*Parameter!$B$2/Parameter!$B$3),0)</f>
        <v>0</v>
      </c>
      <c r="C288" s="44">
        <f>IF($A287&gt;=$G$3,MIN(IF(AND($A288&gt;$G$2,Parameter!$E$9),Parameter!$E$7-Zahlungsplan!$B288,Parameter!$B$5-$B288),$D287),0)</f>
        <v>0</v>
      </c>
      <c r="D288" s="44">
        <f t="shared" si="9"/>
        <v>0</v>
      </c>
      <c r="E288" s="45">
        <f t="shared" si="8"/>
        <v>0</v>
      </c>
      <c r="F288" s="59">
        <f>IF($E288&gt;0,IF(Parameter!$B$10="vorschüssig",_XLL.EDATUM(Parameter!$B$9,(A288-1)*12/Parameter!$B$3),_XLL.EDATUM(Parameter!$B$9,A288*12/Parameter!$B$3)),"")</f>
      </c>
      <c r="H288" s="47"/>
    </row>
    <row r="289" spans="1:8" s="46" customFormat="1" ht="12.75">
      <c r="A289" s="43">
        <v>288</v>
      </c>
      <c r="B289" s="44">
        <f>IF($D288&gt;0,IF($A289&gt;$G$2,$D288*Parameter!$B$8/Parameter!$B$3,$D288*Parameter!$B$2/Parameter!$B$3),0)</f>
        <v>0</v>
      </c>
      <c r="C289" s="44">
        <f>IF($A288&gt;=$G$3,MIN(IF(AND($A289&gt;$G$2,Parameter!$E$9),Parameter!$E$7-Zahlungsplan!$B289,Parameter!$B$5-$B289),$D288),0)</f>
        <v>0</v>
      </c>
      <c r="D289" s="44">
        <f t="shared" si="9"/>
        <v>0</v>
      </c>
      <c r="E289" s="45">
        <f t="shared" si="8"/>
        <v>0</v>
      </c>
      <c r="F289" s="59">
        <f>IF($E289&gt;0,IF(Parameter!$B$10="vorschüssig",_XLL.EDATUM(Parameter!$B$9,(A289-1)*12/Parameter!$B$3),_XLL.EDATUM(Parameter!$B$9,A289*12/Parameter!$B$3)),"")</f>
      </c>
      <c r="H289" s="47"/>
    </row>
    <row r="290" spans="1:8" s="46" customFormat="1" ht="12.75">
      <c r="A290" s="43">
        <v>289</v>
      </c>
      <c r="B290" s="44">
        <f>IF($D289&gt;0,IF($A290&gt;$G$2,$D289*Parameter!$B$8/Parameter!$B$3,$D289*Parameter!$B$2/Parameter!$B$3),0)</f>
        <v>0</v>
      </c>
      <c r="C290" s="44">
        <f>IF($A289&gt;=$G$3,MIN(IF(AND($A290&gt;$G$2,Parameter!$E$9),Parameter!$E$7-Zahlungsplan!$B290,Parameter!$B$5-$B290),$D289),0)</f>
        <v>0</v>
      </c>
      <c r="D290" s="44">
        <f t="shared" si="9"/>
        <v>0</v>
      </c>
      <c r="E290" s="45">
        <f t="shared" si="8"/>
        <v>0</v>
      </c>
      <c r="F290" s="59">
        <f>IF($E290&gt;0,IF(Parameter!$B$10="vorschüssig",_XLL.EDATUM(Parameter!$B$9,(A290-1)*12/Parameter!$B$3),_XLL.EDATUM(Parameter!$B$9,A290*12/Parameter!$B$3)),"")</f>
      </c>
      <c r="H290" s="47"/>
    </row>
    <row r="291" spans="1:8" s="46" customFormat="1" ht="12.75">
      <c r="A291" s="43">
        <v>290</v>
      </c>
      <c r="B291" s="44">
        <f>IF($D290&gt;0,IF($A291&gt;$G$2,$D290*Parameter!$B$8/Parameter!$B$3,$D290*Parameter!$B$2/Parameter!$B$3),0)</f>
        <v>0</v>
      </c>
      <c r="C291" s="44">
        <f>IF($A290&gt;=$G$3,MIN(IF(AND($A291&gt;$G$2,Parameter!$E$9),Parameter!$E$7-Zahlungsplan!$B291,Parameter!$B$5-$B291),$D290),0)</f>
        <v>0</v>
      </c>
      <c r="D291" s="44">
        <f t="shared" si="9"/>
        <v>0</v>
      </c>
      <c r="E291" s="45">
        <f t="shared" si="8"/>
        <v>0</v>
      </c>
      <c r="F291" s="59">
        <f>IF($E291&gt;0,IF(Parameter!$B$10="vorschüssig",_XLL.EDATUM(Parameter!$B$9,(A291-1)*12/Parameter!$B$3),_XLL.EDATUM(Parameter!$B$9,A291*12/Parameter!$B$3)),"")</f>
      </c>
      <c r="H291" s="47"/>
    </row>
    <row r="292" spans="1:8" s="46" customFormat="1" ht="12.75">
      <c r="A292" s="43">
        <v>291</v>
      </c>
      <c r="B292" s="44">
        <f>IF($D291&gt;0,IF($A292&gt;$G$2,$D291*Parameter!$B$8/Parameter!$B$3,$D291*Parameter!$B$2/Parameter!$B$3),0)</f>
        <v>0</v>
      </c>
      <c r="C292" s="44">
        <f>IF($A291&gt;=$G$3,MIN(IF(AND($A292&gt;$G$2,Parameter!$E$9),Parameter!$E$7-Zahlungsplan!$B292,Parameter!$B$5-$B292),$D291),0)</f>
        <v>0</v>
      </c>
      <c r="D292" s="44">
        <f t="shared" si="9"/>
        <v>0</v>
      </c>
      <c r="E292" s="45">
        <f t="shared" si="8"/>
        <v>0</v>
      </c>
      <c r="F292" s="59">
        <f>IF($E292&gt;0,IF(Parameter!$B$10="vorschüssig",_XLL.EDATUM(Parameter!$B$9,(A292-1)*12/Parameter!$B$3),_XLL.EDATUM(Parameter!$B$9,A292*12/Parameter!$B$3)),"")</f>
      </c>
      <c r="H292" s="47"/>
    </row>
    <row r="293" spans="1:8" s="46" customFormat="1" ht="12.75">
      <c r="A293" s="43">
        <v>292</v>
      </c>
      <c r="B293" s="44">
        <f>IF($D292&gt;0,IF($A293&gt;$G$2,$D292*Parameter!$B$8/Parameter!$B$3,$D292*Parameter!$B$2/Parameter!$B$3),0)</f>
        <v>0</v>
      </c>
      <c r="C293" s="44">
        <f>IF($A292&gt;=$G$3,MIN(IF(AND($A293&gt;$G$2,Parameter!$E$9),Parameter!$E$7-Zahlungsplan!$B293,Parameter!$B$5-$B293),$D292),0)</f>
        <v>0</v>
      </c>
      <c r="D293" s="44">
        <f t="shared" si="9"/>
        <v>0</v>
      </c>
      <c r="E293" s="45">
        <f t="shared" si="8"/>
        <v>0</v>
      </c>
      <c r="F293" s="59">
        <f>IF($E293&gt;0,IF(Parameter!$B$10="vorschüssig",_XLL.EDATUM(Parameter!$B$9,(A293-1)*12/Parameter!$B$3),_XLL.EDATUM(Parameter!$B$9,A293*12/Parameter!$B$3)),"")</f>
      </c>
      <c r="H293" s="47"/>
    </row>
    <row r="294" spans="1:8" s="46" customFormat="1" ht="12.75">
      <c r="A294" s="43">
        <v>293</v>
      </c>
      <c r="B294" s="44">
        <f>IF($D293&gt;0,IF($A294&gt;$G$2,$D293*Parameter!$B$8/Parameter!$B$3,$D293*Parameter!$B$2/Parameter!$B$3),0)</f>
        <v>0</v>
      </c>
      <c r="C294" s="44">
        <f>IF($A293&gt;=$G$3,MIN(IF(AND($A294&gt;$G$2,Parameter!$E$9),Parameter!$E$7-Zahlungsplan!$B294,Parameter!$B$5-$B294),$D293),0)</f>
        <v>0</v>
      </c>
      <c r="D294" s="44">
        <f t="shared" si="9"/>
        <v>0</v>
      </c>
      <c r="E294" s="45">
        <f t="shared" si="8"/>
        <v>0</v>
      </c>
      <c r="F294" s="59">
        <f>IF($E294&gt;0,IF(Parameter!$B$10="vorschüssig",_XLL.EDATUM(Parameter!$B$9,(A294-1)*12/Parameter!$B$3),_XLL.EDATUM(Parameter!$B$9,A294*12/Parameter!$B$3)),"")</f>
      </c>
      <c r="H294" s="47"/>
    </row>
    <row r="295" spans="1:8" s="46" customFormat="1" ht="12.75">
      <c r="A295" s="43">
        <v>294</v>
      </c>
      <c r="B295" s="44">
        <f>IF($D294&gt;0,IF($A295&gt;$G$2,$D294*Parameter!$B$8/Parameter!$B$3,$D294*Parameter!$B$2/Parameter!$B$3),0)</f>
        <v>0</v>
      </c>
      <c r="C295" s="44">
        <f>IF($A294&gt;=$G$3,MIN(IF(AND($A295&gt;$G$2,Parameter!$E$9),Parameter!$E$7-Zahlungsplan!$B295,Parameter!$B$5-$B295),$D294),0)</f>
        <v>0</v>
      </c>
      <c r="D295" s="44">
        <f t="shared" si="9"/>
        <v>0</v>
      </c>
      <c r="E295" s="45">
        <f t="shared" si="8"/>
        <v>0</v>
      </c>
      <c r="F295" s="59">
        <f>IF($E295&gt;0,IF(Parameter!$B$10="vorschüssig",_XLL.EDATUM(Parameter!$B$9,(A295-1)*12/Parameter!$B$3),_XLL.EDATUM(Parameter!$B$9,A295*12/Parameter!$B$3)),"")</f>
      </c>
      <c r="H295" s="47"/>
    </row>
    <row r="296" spans="1:8" s="46" customFormat="1" ht="12.75">
      <c r="A296" s="43">
        <v>295</v>
      </c>
      <c r="B296" s="44">
        <f>IF($D295&gt;0,IF($A296&gt;$G$2,$D295*Parameter!$B$8/Parameter!$B$3,$D295*Parameter!$B$2/Parameter!$B$3),0)</f>
        <v>0</v>
      </c>
      <c r="C296" s="44">
        <f>IF($A295&gt;=$G$3,MIN(IF(AND($A296&gt;$G$2,Parameter!$E$9),Parameter!$E$7-Zahlungsplan!$B296,Parameter!$B$5-$B296),$D295),0)</f>
        <v>0</v>
      </c>
      <c r="D296" s="44">
        <f t="shared" si="9"/>
        <v>0</v>
      </c>
      <c r="E296" s="45">
        <f t="shared" si="8"/>
        <v>0</v>
      </c>
      <c r="F296" s="59">
        <f>IF($E296&gt;0,IF(Parameter!$B$10="vorschüssig",_XLL.EDATUM(Parameter!$B$9,(A296-1)*12/Parameter!$B$3),_XLL.EDATUM(Parameter!$B$9,A296*12/Parameter!$B$3)),"")</f>
      </c>
      <c r="H296" s="47"/>
    </row>
    <row r="297" spans="1:8" s="46" customFormat="1" ht="12.75">
      <c r="A297" s="43">
        <v>296</v>
      </c>
      <c r="B297" s="44">
        <f>IF($D296&gt;0,IF($A297&gt;$G$2,$D296*Parameter!$B$8/Parameter!$B$3,$D296*Parameter!$B$2/Parameter!$B$3),0)</f>
        <v>0</v>
      </c>
      <c r="C297" s="44">
        <f>IF($A296&gt;=$G$3,MIN(IF(AND($A297&gt;$G$2,Parameter!$E$9),Parameter!$E$7-Zahlungsplan!$B297,Parameter!$B$5-$B297),$D296),0)</f>
        <v>0</v>
      </c>
      <c r="D297" s="44">
        <f t="shared" si="9"/>
        <v>0</v>
      </c>
      <c r="E297" s="45">
        <f t="shared" si="8"/>
        <v>0</v>
      </c>
      <c r="F297" s="59">
        <f>IF($E297&gt;0,IF(Parameter!$B$10="vorschüssig",_XLL.EDATUM(Parameter!$B$9,(A297-1)*12/Parameter!$B$3),_XLL.EDATUM(Parameter!$B$9,A297*12/Parameter!$B$3)),"")</f>
      </c>
      <c r="H297" s="47"/>
    </row>
    <row r="298" spans="1:8" s="46" customFormat="1" ht="12.75">
      <c r="A298" s="43">
        <v>297</v>
      </c>
      <c r="B298" s="44">
        <f>IF($D297&gt;0,IF($A298&gt;$G$2,$D297*Parameter!$B$8/Parameter!$B$3,$D297*Parameter!$B$2/Parameter!$B$3),0)</f>
        <v>0</v>
      </c>
      <c r="C298" s="44">
        <f>IF($A297&gt;=$G$3,MIN(IF(AND($A298&gt;$G$2,Parameter!$E$9),Parameter!$E$7-Zahlungsplan!$B298,Parameter!$B$5-$B298),$D297),0)</f>
        <v>0</v>
      </c>
      <c r="D298" s="44">
        <f t="shared" si="9"/>
        <v>0</v>
      </c>
      <c r="E298" s="45">
        <f t="shared" si="8"/>
        <v>0</v>
      </c>
      <c r="F298" s="59">
        <f>IF($E298&gt;0,IF(Parameter!$B$10="vorschüssig",_XLL.EDATUM(Parameter!$B$9,(A298-1)*12/Parameter!$B$3),_XLL.EDATUM(Parameter!$B$9,A298*12/Parameter!$B$3)),"")</f>
      </c>
      <c r="H298" s="47"/>
    </row>
    <row r="299" spans="1:8" s="46" customFormat="1" ht="12.75">
      <c r="A299" s="43">
        <v>298</v>
      </c>
      <c r="B299" s="44">
        <f>IF($D298&gt;0,IF($A299&gt;$G$2,$D298*Parameter!$B$8/Parameter!$B$3,$D298*Parameter!$B$2/Parameter!$B$3),0)</f>
        <v>0</v>
      </c>
      <c r="C299" s="44">
        <f>IF($A298&gt;=$G$3,MIN(IF(AND($A299&gt;$G$2,Parameter!$E$9),Parameter!$E$7-Zahlungsplan!$B299,Parameter!$B$5-$B299),$D298),0)</f>
        <v>0</v>
      </c>
      <c r="D299" s="44">
        <f t="shared" si="9"/>
        <v>0</v>
      </c>
      <c r="E299" s="45">
        <f t="shared" si="8"/>
        <v>0</v>
      </c>
      <c r="F299" s="59">
        <f>IF($E299&gt;0,IF(Parameter!$B$10="vorschüssig",_XLL.EDATUM(Parameter!$B$9,(A299-1)*12/Parameter!$B$3),_XLL.EDATUM(Parameter!$B$9,A299*12/Parameter!$B$3)),"")</f>
      </c>
      <c r="H299" s="47"/>
    </row>
    <row r="300" spans="1:8" s="46" customFormat="1" ht="12.75">
      <c r="A300" s="43">
        <v>299</v>
      </c>
      <c r="B300" s="44">
        <f>IF($D299&gt;0,IF($A300&gt;$G$2,$D299*Parameter!$B$8/Parameter!$B$3,$D299*Parameter!$B$2/Parameter!$B$3),0)</f>
        <v>0</v>
      </c>
      <c r="C300" s="44">
        <f>IF($A299&gt;=$G$3,MIN(IF(AND($A300&gt;$G$2,Parameter!$E$9),Parameter!$E$7-Zahlungsplan!$B300,Parameter!$B$5-$B300),$D299),0)</f>
        <v>0</v>
      </c>
      <c r="D300" s="44">
        <f t="shared" si="9"/>
        <v>0</v>
      </c>
      <c r="E300" s="45">
        <f t="shared" si="8"/>
        <v>0</v>
      </c>
      <c r="F300" s="59">
        <f>IF($E300&gt;0,IF(Parameter!$B$10="vorschüssig",_XLL.EDATUM(Parameter!$B$9,(A300-1)*12/Parameter!$B$3),_XLL.EDATUM(Parameter!$B$9,A300*12/Parameter!$B$3)),"")</f>
      </c>
      <c r="H300" s="47"/>
    </row>
    <row r="301" spans="1:8" s="46" customFormat="1" ht="12.75">
      <c r="A301" s="43">
        <v>300</v>
      </c>
      <c r="B301" s="44">
        <f>IF($D300&gt;0,IF($A301&gt;$G$2,$D300*Parameter!$B$8/Parameter!$B$3,$D300*Parameter!$B$2/Parameter!$B$3),0)</f>
        <v>0</v>
      </c>
      <c r="C301" s="44">
        <f>IF($A300&gt;=$G$3,MIN(IF(AND($A301&gt;$G$2,Parameter!$E$9),Parameter!$E$7-Zahlungsplan!$B301,Parameter!$B$5-$B301),$D300),0)</f>
        <v>0</v>
      </c>
      <c r="D301" s="44">
        <f t="shared" si="9"/>
        <v>0</v>
      </c>
      <c r="E301" s="45">
        <f t="shared" si="8"/>
        <v>0</v>
      </c>
      <c r="F301" s="59">
        <f>IF($E301&gt;0,IF(Parameter!$B$10="vorschüssig",_XLL.EDATUM(Parameter!$B$9,(A301-1)*12/Parameter!$B$3),_XLL.EDATUM(Parameter!$B$9,A301*12/Parameter!$B$3)),"")</f>
      </c>
      <c r="H301" s="47"/>
    </row>
    <row r="302" spans="1:8" s="51" customFormat="1" ht="12.75">
      <c r="A302" s="48">
        <v>301</v>
      </c>
      <c r="B302" s="49">
        <f>IF($D301&gt;0,IF($A302&gt;$G$2,$D301*Parameter!$B$8/Parameter!$B$3,$D301*Parameter!$B$2/Parameter!$B$3),0)</f>
        <v>0</v>
      </c>
      <c r="C302" s="49">
        <f>IF($A301&gt;=$G$3,MIN(IF(AND($A302&gt;$G$2,Parameter!$E$9),Parameter!$E$7-Zahlungsplan!$B302,Parameter!$B$5-$B302),$D301),0)</f>
        <v>0</v>
      </c>
      <c r="D302" s="49">
        <f t="shared" si="9"/>
        <v>0</v>
      </c>
      <c r="E302" s="50">
        <f t="shared" si="8"/>
        <v>0</v>
      </c>
      <c r="F302" s="60">
        <f>IF($E302&gt;0,IF(Parameter!$B$10="vorschüssig",_XLL.EDATUM(Parameter!$B$9,(A302-1)*12/Parameter!$B$3),_XLL.EDATUM(Parameter!$B$9,A302*12/Parameter!$B$3)),"")</f>
      </c>
      <c r="H302" s="52"/>
    </row>
    <row r="303" spans="1:8" s="51" customFormat="1" ht="12.75">
      <c r="A303" s="48">
        <v>302</v>
      </c>
      <c r="B303" s="49">
        <f>IF($D302&gt;0,IF($A303&gt;$G$2,$D302*Parameter!$B$8/Parameter!$B$3,$D302*Parameter!$B$2/Parameter!$B$3),0)</f>
        <v>0</v>
      </c>
      <c r="C303" s="49">
        <f>IF($A302&gt;=$G$3,MIN(IF(AND($A303&gt;$G$2,Parameter!$E$9),Parameter!$E$7-Zahlungsplan!$B303,Parameter!$B$5-$B303),$D302),0)</f>
        <v>0</v>
      </c>
      <c r="D303" s="49">
        <f t="shared" si="9"/>
        <v>0</v>
      </c>
      <c r="E303" s="50">
        <f t="shared" si="8"/>
        <v>0</v>
      </c>
      <c r="F303" s="60">
        <f>IF($E303&gt;0,IF(Parameter!$B$10="vorschüssig",_XLL.EDATUM(Parameter!$B$9,(A303-1)*12/Parameter!$B$3),_XLL.EDATUM(Parameter!$B$9,A303*12/Parameter!$B$3)),"")</f>
      </c>
      <c r="H303" s="52"/>
    </row>
    <row r="304" spans="1:8" s="51" customFormat="1" ht="12.75">
      <c r="A304" s="48">
        <v>303</v>
      </c>
      <c r="B304" s="49">
        <f>IF($D303&gt;0,IF($A304&gt;$G$2,$D303*Parameter!$B$8/Parameter!$B$3,$D303*Parameter!$B$2/Parameter!$B$3),0)</f>
        <v>0</v>
      </c>
      <c r="C304" s="49">
        <f>IF($A303&gt;=$G$3,MIN(IF(AND($A304&gt;$G$2,Parameter!$E$9),Parameter!$E$7-Zahlungsplan!$B304,Parameter!$B$5-$B304),$D303),0)</f>
        <v>0</v>
      </c>
      <c r="D304" s="49">
        <f t="shared" si="9"/>
        <v>0</v>
      </c>
      <c r="E304" s="50">
        <f t="shared" si="8"/>
        <v>0</v>
      </c>
      <c r="F304" s="60">
        <f>IF($E304&gt;0,IF(Parameter!$B$10="vorschüssig",_XLL.EDATUM(Parameter!$B$9,(A304-1)*12/Parameter!$B$3),_XLL.EDATUM(Parameter!$B$9,A304*12/Parameter!$B$3)),"")</f>
      </c>
      <c r="H304" s="52"/>
    </row>
    <row r="305" spans="1:8" s="51" customFormat="1" ht="12.75">
      <c r="A305" s="48">
        <v>304</v>
      </c>
      <c r="B305" s="49">
        <f>IF($D304&gt;0,IF($A305&gt;$G$2,$D304*Parameter!$B$8/Parameter!$B$3,$D304*Parameter!$B$2/Parameter!$B$3),0)</f>
        <v>0</v>
      </c>
      <c r="C305" s="49">
        <f>IF($A304&gt;=$G$3,MIN(IF(AND($A305&gt;$G$2,Parameter!$E$9),Parameter!$E$7-Zahlungsplan!$B305,Parameter!$B$5-$B305),$D304),0)</f>
        <v>0</v>
      </c>
      <c r="D305" s="49">
        <f t="shared" si="9"/>
        <v>0</v>
      </c>
      <c r="E305" s="50">
        <f t="shared" si="8"/>
        <v>0</v>
      </c>
      <c r="F305" s="60">
        <f>IF($E305&gt;0,IF(Parameter!$B$10="vorschüssig",_XLL.EDATUM(Parameter!$B$9,(A305-1)*12/Parameter!$B$3),_XLL.EDATUM(Parameter!$B$9,A305*12/Parameter!$B$3)),"")</f>
      </c>
      <c r="H305" s="52"/>
    </row>
    <row r="306" spans="1:8" s="51" customFormat="1" ht="12.75">
      <c r="A306" s="48">
        <v>305</v>
      </c>
      <c r="B306" s="49">
        <f>IF($D305&gt;0,IF($A306&gt;$G$2,$D305*Parameter!$B$8/Parameter!$B$3,$D305*Parameter!$B$2/Parameter!$B$3),0)</f>
        <v>0</v>
      </c>
      <c r="C306" s="49">
        <f>IF($A305&gt;=$G$3,MIN(IF(AND($A306&gt;$G$2,Parameter!$E$9),Parameter!$E$7-Zahlungsplan!$B306,Parameter!$B$5-$B306),$D305),0)</f>
        <v>0</v>
      </c>
      <c r="D306" s="49">
        <f t="shared" si="9"/>
        <v>0</v>
      </c>
      <c r="E306" s="50">
        <f t="shared" si="8"/>
        <v>0</v>
      </c>
      <c r="F306" s="60">
        <f>IF($E306&gt;0,IF(Parameter!$B$10="vorschüssig",_XLL.EDATUM(Parameter!$B$9,(A306-1)*12/Parameter!$B$3),_XLL.EDATUM(Parameter!$B$9,A306*12/Parameter!$B$3)),"")</f>
      </c>
      <c r="H306" s="52"/>
    </row>
    <row r="307" spans="1:8" s="51" customFormat="1" ht="12.75">
      <c r="A307" s="48">
        <v>306</v>
      </c>
      <c r="B307" s="49">
        <f>IF($D306&gt;0,IF($A307&gt;$G$2,$D306*Parameter!$B$8/Parameter!$B$3,$D306*Parameter!$B$2/Parameter!$B$3),0)</f>
        <v>0</v>
      </c>
      <c r="C307" s="49">
        <f>IF($A306&gt;=$G$3,MIN(IF(AND($A307&gt;$G$2,Parameter!$E$9),Parameter!$E$7-Zahlungsplan!$B307,Parameter!$B$5-$B307),$D306),0)</f>
        <v>0</v>
      </c>
      <c r="D307" s="49">
        <f t="shared" si="9"/>
        <v>0</v>
      </c>
      <c r="E307" s="50">
        <f t="shared" si="8"/>
        <v>0</v>
      </c>
      <c r="F307" s="60">
        <f>IF($E307&gt;0,IF(Parameter!$B$10="vorschüssig",_XLL.EDATUM(Parameter!$B$9,(A307-1)*12/Parameter!$B$3),_XLL.EDATUM(Parameter!$B$9,A307*12/Parameter!$B$3)),"")</f>
      </c>
      <c r="H307" s="52"/>
    </row>
    <row r="308" spans="1:8" s="51" customFormat="1" ht="12.75">
      <c r="A308" s="48">
        <v>307</v>
      </c>
      <c r="B308" s="49">
        <f>IF($D307&gt;0,IF($A308&gt;$G$2,$D307*Parameter!$B$8/Parameter!$B$3,$D307*Parameter!$B$2/Parameter!$B$3),0)</f>
        <v>0</v>
      </c>
      <c r="C308" s="49">
        <f>IF($A307&gt;=$G$3,MIN(IF(AND($A308&gt;$G$2,Parameter!$E$9),Parameter!$E$7-Zahlungsplan!$B308,Parameter!$B$5-$B308),$D307),0)</f>
        <v>0</v>
      </c>
      <c r="D308" s="49">
        <f t="shared" si="9"/>
        <v>0</v>
      </c>
      <c r="E308" s="50">
        <f t="shared" si="8"/>
        <v>0</v>
      </c>
      <c r="F308" s="60">
        <f>IF($E308&gt;0,IF(Parameter!$B$10="vorschüssig",_XLL.EDATUM(Parameter!$B$9,(A308-1)*12/Parameter!$B$3),_XLL.EDATUM(Parameter!$B$9,A308*12/Parameter!$B$3)),"")</f>
      </c>
      <c r="H308" s="52"/>
    </row>
    <row r="309" spans="1:8" s="51" customFormat="1" ht="12.75">
      <c r="A309" s="48">
        <v>308</v>
      </c>
      <c r="B309" s="49">
        <f>IF($D308&gt;0,IF($A309&gt;$G$2,$D308*Parameter!$B$8/Parameter!$B$3,$D308*Parameter!$B$2/Parameter!$B$3),0)</f>
        <v>0</v>
      </c>
      <c r="C309" s="49">
        <f>IF($A308&gt;=$G$3,MIN(IF(AND($A309&gt;$G$2,Parameter!$E$9),Parameter!$E$7-Zahlungsplan!$B309,Parameter!$B$5-$B309),$D308),0)</f>
        <v>0</v>
      </c>
      <c r="D309" s="49">
        <f t="shared" si="9"/>
        <v>0</v>
      </c>
      <c r="E309" s="50">
        <f t="shared" si="8"/>
        <v>0</v>
      </c>
      <c r="F309" s="60">
        <f>IF($E309&gt;0,IF(Parameter!$B$10="vorschüssig",_XLL.EDATUM(Parameter!$B$9,(A309-1)*12/Parameter!$B$3),_XLL.EDATUM(Parameter!$B$9,A309*12/Parameter!$B$3)),"")</f>
      </c>
      <c r="H309" s="52"/>
    </row>
    <row r="310" spans="1:8" s="51" customFormat="1" ht="12.75">
      <c r="A310" s="48">
        <v>309</v>
      </c>
      <c r="B310" s="49">
        <f>IF($D309&gt;0,IF($A310&gt;$G$2,$D309*Parameter!$B$8/Parameter!$B$3,$D309*Parameter!$B$2/Parameter!$B$3),0)</f>
        <v>0</v>
      </c>
      <c r="C310" s="49">
        <f>IF($A309&gt;=$G$3,MIN(IF(AND($A310&gt;$G$2,Parameter!$E$9),Parameter!$E$7-Zahlungsplan!$B310,Parameter!$B$5-$B310),$D309),0)</f>
        <v>0</v>
      </c>
      <c r="D310" s="49">
        <f t="shared" si="9"/>
        <v>0</v>
      </c>
      <c r="E310" s="50">
        <f t="shared" si="8"/>
        <v>0</v>
      </c>
      <c r="F310" s="60">
        <f>IF($E310&gt;0,IF(Parameter!$B$10="vorschüssig",_XLL.EDATUM(Parameter!$B$9,(A310-1)*12/Parameter!$B$3),_XLL.EDATUM(Parameter!$B$9,A310*12/Parameter!$B$3)),"")</f>
      </c>
      <c r="H310" s="52"/>
    </row>
    <row r="311" spans="1:8" s="51" customFormat="1" ht="12.75">
      <c r="A311" s="48">
        <v>310</v>
      </c>
      <c r="B311" s="49">
        <f>IF($D310&gt;0,IF($A311&gt;$G$2,$D310*Parameter!$B$8/Parameter!$B$3,$D310*Parameter!$B$2/Parameter!$B$3),0)</f>
        <v>0</v>
      </c>
      <c r="C311" s="49">
        <f>IF($A310&gt;=$G$3,MIN(IF(AND($A311&gt;$G$2,Parameter!$E$9),Parameter!$E$7-Zahlungsplan!$B311,Parameter!$B$5-$B311),$D310),0)</f>
        <v>0</v>
      </c>
      <c r="D311" s="49">
        <f t="shared" si="9"/>
        <v>0</v>
      </c>
      <c r="E311" s="50">
        <f t="shared" si="8"/>
        <v>0</v>
      </c>
      <c r="F311" s="60">
        <f>IF($E311&gt;0,IF(Parameter!$B$10="vorschüssig",_XLL.EDATUM(Parameter!$B$9,(A311-1)*12/Parameter!$B$3),_XLL.EDATUM(Parameter!$B$9,A311*12/Parameter!$B$3)),"")</f>
      </c>
      <c r="H311" s="52"/>
    </row>
    <row r="312" spans="1:8" s="51" customFormat="1" ht="12.75">
      <c r="A312" s="48">
        <v>311</v>
      </c>
      <c r="B312" s="49">
        <f>IF($D311&gt;0,IF($A312&gt;$G$2,$D311*Parameter!$B$8/Parameter!$B$3,$D311*Parameter!$B$2/Parameter!$B$3),0)</f>
        <v>0</v>
      </c>
      <c r="C312" s="49">
        <f>IF($A311&gt;=$G$3,MIN(IF(AND($A312&gt;$G$2,Parameter!$E$9),Parameter!$E$7-Zahlungsplan!$B312,Parameter!$B$5-$B312),$D311),0)</f>
        <v>0</v>
      </c>
      <c r="D312" s="49">
        <f t="shared" si="9"/>
        <v>0</v>
      </c>
      <c r="E312" s="50">
        <f t="shared" si="8"/>
        <v>0</v>
      </c>
      <c r="F312" s="60">
        <f>IF($E312&gt;0,IF(Parameter!$B$10="vorschüssig",_XLL.EDATUM(Parameter!$B$9,(A312-1)*12/Parameter!$B$3),_XLL.EDATUM(Parameter!$B$9,A312*12/Parameter!$B$3)),"")</f>
      </c>
      <c r="H312" s="52"/>
    </row>
    <row r="313" spans="1:8" s="51" customFormat="1" ht="12.75">
      <c r="A313" s="48">
        <v>312</v>
      </c>
      <c r="B313" s="49">
        <f>IF($D312&gt;0,IF($A313&gt;$G$2,$D312*Parameter!$B$8/Parameter!$B$3,$D312*Parameter!$B$2/Parameter!$B$3),0)</f>
        <v>0</v>
      </c>
      <c r="C313" s="49">
        <f>IF($A312&gt;=$G$3,MIN(IF(AND($A313&gt;$G$2,Parameter!$E$9),Parameter!$E$7-Zahlungsplan!$B313,Parameter!$B$5-$B313),$D312),0)</f>
        <v>0</v>
      </c>
      <c r="D313" s="49">
        <f t="shared" si="9"/>
        <v>0</v>
      </c>
      <c r="E313" s="50">
        <f t="shared" si="8"/>
        <v>0</v>
      </c>
      <c r="F313" s="60">
        <f>IF($E313&gt;0,IF(Parameter!$B$10="vorschüssig",_XLL.EDATUM(Parameter!$B$9,(A313-1)*12/Parameter!$B$3),_XLL.EDATUM(Parameter!$B$9,A313*12/Parameter!$B$3)),"")</f>
      </c>
      <c r="H313" s="52"/>
    </row>
    <row r="314" spans="1:8" s="51" customFormat="1" ht="12.75">
      <c r="A314" s="48">
        <v>313</v>
      </c>
      <c r="B314" s="49">
        <f>IF($D313&gt;0,IF($A314&gt;$G$2,$D313*Parameter!$B$8/Parameter!$B$3,$D313*Parameter!$B$2/Parameter!$B$3),0)</f>
        <v>0</v>
      </c>
      <c r="C314" s="49">
        <f>IF($A313&gt;=$G$3,MIN(IF(AND($A314&gt;$G$2,Parameter!$E$9),Parameter!$E$7-Zahlungsplan!$B314,Parameter!$B$5-$B314),$D313),0)</f>
        <v>0</v>
      </c>
      <c r="D314" s="49">
        <f t="shared" si="9"/>
        <v>0</v>
      </c>
      <c r="E314" s="50">
        <f t="shared" si="8"/>
        <v>0</v>
      </c>
      <c r="F314" s="60">
        <f>IF($E314&gt;0,IF(Parameter!$B$10="vorschüssig",_XLL.EDATUM(Parameter!$B$9,(A314-1)*12/Parameter!$B$3),_XLL.EDATUM(Parameter!$B$9,A314*12/Parameter!$B$3)),"")</f>
      </c>
      <c r="H314" s="52"/>
    </row>
    <row r="315" spans="1:8" s="51" customFormat="1" ht="12.75">
      <c r="A315" s="48">
        <v>314</v>
      </c>
      <c r="B315" s="49">
        <f>IF($D314&gt;0,IF($A315&gt;$G$2,$D314*Parameter!$B$8/Parameter!$B$3,$D314*Parameter!$B$2/Parameter!$B$3),0)</f>
        <v>0</v>
      </c>
      <c r="C315" s="49">
        <f>IF($A314&gt;=$G$3,MIN(IF(AND($A315&gt;$G$2,Parameter!$E$9),Parameter!$E$7-Zahlungsplan!$B315,Parameter!$B$5-$B315),$D314),0)</f>
        <v>0</v>
      </c>
      <c r="D315" s="49">
        <f t="shared" si="9"/>
        <v>0</v>
      </c>
      <c r="E315" s="50">
        <f t="shared" si="8"/>
        <v>0</v>
      </c>
      <c r="F315" s="60">
        <f>IF($E315&gt;0,IF(Parameter!$B$10="vorschüssig",_XLL.EDATUM(Parameter!$B$9,(A315-1)*12/Parameter!$B$3),_XLL.EDATUM(Parameter!$B$9,A315*12/Parameter!$B$3)),"")</f>
      </c>
      <c r="H315" s="52"/>
    </row>
    <row r="316" spans="1:8" s="51" customFormat="1" ht="12.75">
      <c r="A316" s="48">
        <v>315</v>
      </c>
      <c r="B316" s="49">
        <f>IF($D315&gt;0,IF($A316&gt;$G$2,$D315*Parameter!$B$8/Parameter!$B$3,$D315*Parameter!$B$2/Parameter!$B$3),0)</f>
        <v>0</v>
      </c>
      <c r="C316" s="49">
        <f>IF($A315&gt;=$G$3,MIN(IF(AND($A316&gt;$G$2,Parameter!$E$9),Parameter!$E$7-Zahlungsplan!$B316,Parameter!$B$5-$B316),$D315),0)</f>
        <v>0</v>
      </c>
      <c r="D316" s="49">
        <f t="shared" si="9"/>
        <v>0</v>
      </c>
      <c r="E316" s="50">
        <f t="shared" si="8"/>
        <v>0</v>
      </c>
      <c r="F316" s="60">
        <f>IF($E316&gt;0,IF(Parameter!$B$10="vorschüssig",_XLL.EDATUM(Parameter!$B$9,(A316-1)*12/Parameter!$B$3),_XLL.EDATUM(Parameter!$B$9,A316*12/Parameter!$B$3)),"")</f>
      </c>
      <c r="H316" s="52"/>
    </row>
    <row r="317" spans="1:8" s="51" customFormat="1" ht="12.75">
      <c r="A317" s="48">
        <v>316</v>
      </c>
      <c r="B317" s="49">
        <f>IF($D316&gt;0,IF($A317&gt;$G$2,$D316*Parameter!$B$8/Parameter!$B$3,$D316*Parameter!$B$2/Parameter!$B$3),0)</f>
        <v>0</v>
      </c>
      <c r="C317" s="49">
        <f>IF($A316&gt;=$G$3,MIN(IF(AND($A317&gt;$G$2,Parameter!$E$9),Parameter!$E$7-Zahlungsplan!$B317,Parameter!$B$5-$B317),$D316),0)</f>
        <v>0</v>
      </c>
      <c r="D317" s="49">
        <f t="shared" si="9"/>
        <v>0</v>
      </c>
      <c r="E317" s="50">
        <f t="shared" si="8"/>
        <v>0</v>
      </c>
      <c r="F317" s="60">
        <f>IF($E317&gt;0,IF(Parameter!$B$10="vorschüssig",_XLL.EDATUM(Parameter!$B$9,(A317-1)*12/Parameter!$B$3),_XLL.EDATUM(Parameter!$B$9,A317*12/Parameter!$B$3)),"")</f>
      </c>
      <c r="H317" s="52"/>
    </row>
    <row r="318" spans="1:8" s="51" customFormat="1" ht="12.75">
      <c r="A318" s="48">
        <v>317</v>
      </c>
      <c r="B318" s="49">
        <f>IF($D317&gt;0,IF($A318&gt;$G$2,$D317*Parameter!$B$8/Parameter!$B$3,$D317*Parameter!$B$2/Parameter!$B$3),0)</f>
        <v>0</v>
      </c>
      <c r="C318" s="49">
        <f>IF($A317&gt;=$G$3,MIN(IF(AND($A318&gt;$G$2,Parameter!$E$9),Parameter!$E$7-Zahlungsplan!$B318,Parameter!$B$5-$B318),$D317),0)</f>
        <v>0</v>
      </c>
      <c r="D318" s="49">
        <f t="shared" si="9"/>
        <v>0</v>
      </c>
      <c r="E318" s="50">
        <f t="shared" si="8"/>
        <v>0</v>
      </c>
      <c r="F318" s="60">
        <f>IF($E318&gt;0,IF(Parameter!$B$10="vorschüssig",_XLL.EDATUM(Parameter!$B$9,(A318-1)*12/Parameter!$B$3),_XLL.EDATUM(Parameter!$B$9,A318*12/Parameter!$B$3)),"")</f>
      </c>
      <c r="H318" s="52"/>
    </row>
    <row r="319" spans="1:8" s="51" customFormat="1" ht="12.75">
      <c r="A319" s="48">
        <v>318</v>
      </c>
      <c r="B319" s="49">
        <f>IF($D318&gt;0,IF($A319&gt;$G$2,$D318*Parameter!$B$8/Parameter!$B$3,$D318*Parameter!$B$2/Parameter!$B$3),0)</f>
        <v>0</v>
      </c>
      <c r="C319" s="49">
        <f>IF($A318&gt;=$G$3,MIN(IF(AND($A319&gt;$G$2,Parameter!$E$9),Parameter!$E$7-Zahlungsplan!$B319,Parameter!$B$5-$B319),$D318),0)</f>
        <v>0</v>
      </c>
      <c r="D319" s="49">
        <f t="shared" si="9"/>
        <v>0</v>
      </c>
      <c r="E319" s="50">
        <f t="shared" si="8"/>
        <v>0</v>
      </c>
      <c r="F319" s="60">
        <f>IF($E319&gt;0,IF(Parameter!$B$10="vorschüssig",_XLL.EDATUM(Parameter!$B$9,(A319-1)*12/Parameter!$B$3),_XLL.EDATUM(Parameter!$B$9,A319*12/Parameter!$B$3)),"")</f>
      </c>
      <c r="H319" s="52"/>
    </row>
    <row r="320" spans="1:8" s="51" customFormat="1" ht="12.75">
      <c r="A320" s="48">
        <v>319</v>
      </c>
      <c r="B320" s="49">
        <f>IF($D319&gt;0,IF($A320&gt;$G$2,$D319*Parameter!$B$8/Parameter!$B$3,$D319*Parameter!$B$2/Parameter!$B$3),0)</f>
        <v>0</v>
      </c>
      <c r="C320" s="49">
        <f>IF($A319&gt;=$G$3,MIN(IF(AND($A320&gt;$G$2,Parameter!$E$9),Parameter!$E$7-Zahlungsplan!$B320,Parameter!$B$5-$B320),$D319),0)</f>
        <v>0</v>
      </c>
      <c r="D320" s="49">
        <f t="shared" si="9"/>
        <v>0</v>
      </c>
      <c r="E320" s="50">
        <f t="shared" si="8"/>
        <v>0</v>
      </c>
      <c r="F320" s="60">
        <f>IF($E320&gt;0,IF(Parameter!$B$10="vorschüssig",_XLL.EDATUM(Parameter!$B$9,(A320-1)*12/Parameter!$B$3),_XLL.EDATUM(Parameter!$B$9,A320*12/Parameter!$B$3)),"")</f>
      </c>
      <c r="H320" s="52"/>
    </row>
    <row r="321" spans="1:8" s="51" customFormat="1" ht="12.75">
      <c r="A321" s="48">
        <v>320</v>
      </c>
      <c r="B321" s="49">
        <f>IF($D320&gt;0,IF($A321&gt;$G$2,$D320*Parameter!$B$8/Parameter!$B$3,$D320*Parameter!$B$2/Parameter!$B$3),0)</f>
        <v>0</v>
      </c>
      <c r="C321" s="49">
        <f>IF($A320&gt;=$G$3,MIN(IF(AND($A321&gt;$G$2,Parameter!$E$9),Parameter!$E$7-Zahlungsplan!$B321,Parameter!$B$5-$B321),$D320),0)</f>
        <v>0</v>
      </c>
      <c r="D321" s="49">
        <f t="shared" si="9"/>
        <v>0</v>
      </c>
      <c r="E321" s="50">
        <f t="shared" si="8"/>
        <v>0</v>
      </c>
      <c r="F321" s="60">
        <f>IF($E321&gt;0,IF(Parameter!$B$10="vorschüssig",_XLL.EDATUM(Parameter!$B$9,(A321-1)*12/Parameter!$B$3),_XLL.EDATUM(Parameter!$B$9,A321*12/Parameter!$B$3)),"")</f>
      </c>
      <c r="H321" s="52"/>
    </row>
    <row r="322" spans="1:8" s="51" customFormat="1" ht="12.75">
      <c r="A322" s="48">
        <v>321</v>
      </c>
      <c r="B322" s="49">
        <f>IF($D321&gt;0,IF($A322&gt;$G$2,$D321*Parameter!$B$8/Parameter!$B$3,$D321*Parameter!$B$2/Parameter!$B$3),0)</f>
        <v>0</v>
      </c>
      <c r="C322" s="49">
        <f>IF($A321&gt;=$G$3,MIN(IF(AND($A322&gt;$G$2,Parameter!$E$9),Parameter!$E$7-Zahlungsplan!$B322,Parameter!$B$5-$B322),$D321),0)</f>
        <v>0</v>
      </c>
      <c r="D322" s="49">
        <f t="shared" si="9"/>
        <v>0</v>
      </c>
      <c r="E322" s="50">
        <f t="shared" si="8"/>
        <v>0</v>
      </c>
      <c r="F322" s="60">
        <f>IF($E322&gt;0,IF(Parameter!$B$10="vorschüssig",_XLL.EDATUM(Parameter!$B$9,(A322-1)*12/Parameter!$B$3),_XLL.EDATUM(Parameter!$B$9,A322*12/Parameter!$B$3)),"")</f>
      </c>
      <c r="H322" s="52"/>
    </row>
    <row r="323" spans="1:8" s="51" customFormat="1" ht="12.75">
      <c r="A323" s="48">
        <v>322</v>
      </c>
      <c r="B323" s="49">
        <f>IF($D322&gt;0,IF($A323&gt;$G$2,$D322*Parameter!$B$8/Parameter!$B$3,$D322*Parameter!$B$2/Parameter!$B$3),0)</f>
        <v>0</v>
      </c>
      <c r="C323" s="49">
        <f>IF($A322&gt;=$G$3,MIN(IF(AND($A323&gt;$G$2,Parameter!$E$9),Parameter!$E$7-Zahlungsplan!$B323,Parameter!$B$5-$B323),$D322),0)</f>
        <v>0</v>
      </c>
      <c r="D323" s="49">
        <f t="shared" si="9"/>
        <v>0</v>
      </c>
      <c r="E323" s="50">
        <f aca="true" t="shared" si="10" ref="E323:E386">$B323+$C323</f>
        <v>0</v>
      </c>
      <c r="F323" s="60">
        <f>IF($E323&gt;0,IF(Parameter!$B$10="vorschüssig",_XLL.EDATUM(Parameter!$B$9,(A323-1)*12/Parameter!$B$3),_XLL.EDATUM(Parameter!$B$9,A323*12/Parameter!$B$3)),"")</f>
      </c>
      <c r="H323" s="52"/>
    </row>
    <row r="324" spans="1:8" s="51" customFormat="1" ht="12.75">
      <c r="A324" s="48">
        <v>323</v>
      </c>
      <c r="B324" s="49">
        <f>IF($D323&gt;0,IF($A324&gt;$G$2,$D323*Parameter!$B$8/Parameter!$B$3,$D323*Parameter!$B$2/Parameter!$B$3),0)</f>
        <v>0</v>
      </c>
      <c r="C324" s="49">
        <f>IF($A323&gt;=$G$3,MIN(IF(AND($A324&gt;$G$2,Parameter!$E$9),Parameter!$E$7-Zahlungsplan!$B324,Parameter!$B$5-$B324),$D323),0)</f>
        <v>0</v>
      </c>
      <c r="D324" s="49">
        <f aca="true" t="shared" si="11" ref="D324:D387">$D323-$C324</f>
        <v>0</v>
      </c>
      <c r="E324" s="50">
        <f t="shared" si="10"/>
        <v>0</v>
      </c>
      <c r="F324" s="60">
        <f>IF($E324&gt;0,IF(Parameter!$B$10="vorschüssig",_XLL.EDATUM(Parameter!$B$9,(A324-1)*12/Parameter!$B$3),_XLL.EDATUM(Parameter!$B$9,A324*12/Parameter!$B$3)),"")</f>
      </c>
      <c r="H324" s="52"/>
    </row>
    <row r="325" spans="1:8" s="51" customFormat="1" ht="12.75">
      <c r="A325" s="48">
        <v>324</v>
      </c>
      <c r="B325" s="49">
        <f>IF($D324&gt;0,IF($A325&gt;$G$2,$D324*Parameter!$B$8/Parameter!$B$3,$D324*Parameter!$B$2/Parameter!$B$3),0)</f>
        <v>0</v>
      </c>
      <c r="C325" s="49">
        <f>IF($A324&gt;=$G$3,MIN(IF(AND($A325&gt;$G$2,Parameter!$E$9),Parameter!$E$7-Zahlungsplan!$B325,Parameter!$B$5-$B325),$D324),0)</f>
        <v>0</v>
      </c>
      <c r="D325" s="49">
        <f t="shared" si="11"/>
        <v>0</v>
      </c>
      <c r="E325" s="50">
        <f t="shared" si="10"/>
        <v>0</v>
      </c>
      <c r="F325" s="60">
        <f>IF($E325&gt;0,IF(Parameter!$B$10="vorschüssig",_XLL.EDATUM(Parameter!$B$9,(A325-1)*12/Parameter!$B$3),_XLL.EDATUM(Parameter!$B$9,A325*12/Parameter!$B$3)),"")</f>
      </c>
      <c r="H325" s="52"/>
    </row>
    <row r="326" spans="1:8" s="51" customFormat="1" ht="12.75">
      <c r="A326" s="48">
        <v>325</v>
      </c>
      <c r="B326" s="49">
        <f>IF($D325&gt;0,IF($A326&gt;$G$2,$D325*Parameter!$B$8/Parameter!$B$3,$D325*Parameter!$B$2/Parameter!$B$3),0)</f>
        <v>0</v>
      </c>
      <c r="C326" s="49">
        <f>IF($A325&gt;=$G$3,MIN(IF(AND($A326&gt;$G$2,Parameter!$E$9),Parameter!$E$7-Zahlungsplan!$B326,Parameter!$B$5-$B326),$D325),0)</f>
        <v>0</v>
      </c>
      <c r="D326" s="49">
        <f t="shared" si="11"/>
        <v>0</v>
      </c>
      <c r="E326" s="50">
        <f t="shared" si="10"/>
        <v>0</v>
      </c>
      <c r="F326" s="60">
        <f>IF($E326&gt;0,IF(Parameter!$B$10="vorschüssig",_XLL.EDATUM(Parameter!$B$9,(A326-1)*12/Parameter!$B$3),_XLL.EDATUM(Parameter!$B$9,A326*12/Parameter!$B$3)),"")</f>
      </c>
      <c r="H326" s="52"/>
    </row>
    <row r="327" spans="1:8" s="51" customFormat="1" ht="12.75">
      <c r="A327" s="48">
        <v>326</v>
      </c>
      <c r="B327" s="49">
        <f>IF($D326&gt;0,IF($A327&gt;$G$2,$D326*Parameter!$B$8/Parameter!$B$3,$D326*Parameter!$B$2/Parameter!$B$3),0)</f>
        <v>0</v>
      </c>
      <c r="C327" s="49">
        <f>IF($A326&gt;=$G$3,MIN(IF(AND($A327&gt;$G$2,Parameter!$E$9),Parameter!$E$7-Zahlungsplan!$B327,Parameter!$B$5-$B327),$D326),0)</f>
        <v>0</v>
      </c>
      <c r="D327" s="49">
        <f t="shared" si="11"/>
        <v>0</v>
      </c>
      <c r="E327" s="50">
        <f t="shared" si="10"/>
        <v>0</v>
      </c>
      <c r="F327" s="60">
        <f>IF($E327&gt;0,IF(Parameter!$B$10="vorschüssig",_XLL.EDATUM(Parameter!$B$9,(A327-1)*12/Parameter!$B$3),_XLL.EDATUM(Parameter!$B$9,A327*12/Parameter!$B$3)),"")</f>
      </c>
      <c r="H327" s="52"/>
    </row>
    <row r="328" spans="1:8" s="51" customFormat="1" ht="12.75">
      <c r="A328" s="48">
        <v>327</v>
      </c>
      <c r="B328" s="49">
        <f>IF($D327&gt;0,IF($A328&gt;$G$2,$D327*Parameter!$B$8/Parameter!$B$3,$D327*Parameter!$B$2/Parameter!$B$3),0)</f>
        <v>0</v>
      </c>
      <c r="C328" s="49">
        <f>IF($A327&gt;=$G$3,MIN(IF(AND($A328&gt;$G$2,Parameter!$E$9),Parameter!$E$7-Zahlungsplan!$B328,Parameter!$B$5-$B328),$D327),0)</f>
        <v>0</v>
      </c>
      <c r="D328" s="49">
        <f t="shared" si="11"/>
        <v>0</v>
      </c>
      <c r="E328" s="50">
        <f t="shared" si="10"/>
        <v>0</v>
      </c>
      <c r="F328" s="60">
        <f>IF($E328&gt;0,IF(Parameter!$B$10="vorschüssig",_XLL.EDATUM(Parameter!$B$9,(A328-1)*12/Parameter!$B$3),_XLL.EDATUM(Parameter!$B$9,A328*12/Parameter!$B$3)),"")</f>
      </c>
      <c r="H328" s="52"/>
    </row>
    <row r="329" spans="1:8" s="51" customFormat="1" ht="12.75">
      <c r="A329" s="48">
        <v>328</v>
      </c>
      <c r="B329" s="49">
        <f>IF($D328&gt;0,IF($A329&gt;$G$2,$D328*Parameter!$B$8/Parameter!$B$3,$D328*Parameter!$B$2/Parameter!$B$3),0)</f>
        <v>0</v>
      </c>
      <c r="C329" s="49">
        <f>IF($A328&gt;=$G$3,MIN(IF(AND($A329&gt;$G$2,Parameter!$E$9),Parameter!$E$7-Zahlungsplan!$B329,Parameter!$B$5-$B329),$D328),0)</f>
        <v>0</v>
      </c>
      <c r="D329" s="49">
        <f t="shared" si="11"/>
        <v>0</v>
      </c>
      <c r="E329" s="50">
        <f t="shared" si="10"/>
        <v>0</v>
      </c>
      <c r="F329" s="60">
        <f>IF($E329&gt;0,IF(Parameter!$B$10="vorschüssig",_XLL.EDATUM(Parameter!$B$9,(A329-1)*12/Parameter!$B$3),_XLL.EDATUM(Parameter!$B$9,A329*12/Parameter!$B$3)),"")</f>
      </c>
      <c r="H329" s="52"/>
    </row>
    <row r="330" spans="1:8" s="51" customFormat="1" ht="12.75">
      <c r="A330" s="48">
        <v>329</v>
      </c>
      <c r="B330" s="49">
        <f>IF($D329&gt;0,IF($A330&gt;$G$2,$D329*Parameter!$B$8/Parameter!$B$3,$D329*Parameter!$B$2/Parameter!$B$3),0)</f>
        <v>0</v>
      </c>
      <c r="C330" s="49">
        <f>IF($A329&gt;=$G$3,MIN(IF(AND($A330&gt;$G$2,Parameter!$E$9),Parameter!$E$7-Zahlungsplan!$B330,Parameter!$B$5-$B330),$D329),0)</f>
        <v>0</v>
      </c>
      <c r="D330" s="49">
        <f t="shared" si="11"/>
        <v>0</v>
      </c>
      <c r="E330" s="50">
        <f t="shared" si="10"/>
        <v>0</v>
      </c>
      <c r="F330" s="60">
        <f>IF($E330&gt;0,IF(Parameter!$B$10="vorschüssig",_XLL.EDATUM(Parameter!$B$9,(A330-1)*12/Parameter!$B$3),_XLL.EDATUM(Parameter!$B$9,A330*12/Parameter!$B$3)),"")</f>
      </c>
      <c r="H330" s="52"/>
    </row>
    <row r="331" spans="1:8" s="51" customFormat="1" ht="12.75">
      <c r="A331" s="48">
        <v>330</v>
      </c>
      <c r="B331" s="49">
        <f>IF($D330&gt;0,IF($A331&gt;$G$2,$D330*Parameter!$B$8/Parameter!$B$3,$D330*Parameter!$B$2/Parameter!$B$3),0)</f>
        <v>0</v>
      </c>
      <c r="C331" s="49">
        <f>IF($A330&gt;=$G$3,MIN(IF(AND($A331&gt;$G$2,Parameter!$E$9),Parameter!$E$7-Zahlungsplan!$B331,Parameter!$B$5-$B331),$D330),0)</f>
        <v>0</v>
      </c>
      <c r="D331" s="49">
        <f t="shared" si="11"/>
        <v>0</v>
      </c>
      <c r="E331" s="50">
        <f t="shared" si="10"/>
        <v>0</v>
      </c>
      <c r="F331" s="60">
        <f>IF($E331&gt;0,IF(Parameter!$B$10="vorschüssig",_XLL.EDATUM(Parameter!$B$9,(A331-1)*12/Parameter!$B$3),_XLL.EDATUM(Parameter!$B$9,A331*12/Parameter!$B$3)),"")</f>
      </c>
      <c r="H331" s="52"/>
    </row>
    <row r="332" spans="1:8" s="51" customFormat="1" ht="12.75">
      <c r="A332" s="48">
        <v>331</v>
      </c>
      <c r="B332" s="49">
        <f>IF($D331&gt;0,IF($A332&gt;$G$2,$D331*Parameter!$B$8/Parameter!$B$3,$D331*Parameter!$B$2/Parameter!$B$3),0)</f>
        <v>0</v>
      </c>
      <c r="C332" s="49">
        <f>IF($A331&gt;=$G$3,MIN(IF(AND($A332&gt;$G$2,Parameter!$E$9),Parameter!$E$7-Zahlungsplan!$B332,Parameter!$B$5-$B332),$D331),0)</f>
        <v>0</v>
      </c>
      <c r="D332" s="49">
        <f t="shared" si="11"/>
        <v>0</v>
      </c>
      <c r="E332" s="50">
        <f t="shared" si="10"/>
        <v>0</v>
      </c>
      <c r="F332" s="60">
        <f>IF($E332&gt;0,IF(Parameter!$B$10="vorschüssig",_XLL.EDATUM(Parameter!$B$9,(A332-1)*12/Parameter!$B$3),_XLL.EDATUM(Parameter!$B$9,A332*12/Parameter!$B$3)),"")</f>
      </c>
      <c r="H332" s="52"/>
    </row>
    <row r="333" spans="1:8" s="51" customFormat="1" ht="12.75">
      <c r="A333" s="48">
        <v>332</v>
      </c>
      <c r="B333" s="49">
        <f>IF($D332&gt;0,IF($A333&gt;$G$2,$D332*Parameter!$B$8/Parameter!$B$3,$D332*Parameter!$B$2/Parameter!$B$3),0)</f>
        <v>0</v>
      </c>
      <c r="C333" s="49">
        <f>IF($A332&gt;=$G$3,MIN(IF(AND($A333&gt;$G$2,Parameter!$E$9),Parameter!$E$7-Zahlungsplan!$B333,Parameter!$B$5-$B333),$D332),0)</f>
        <v>0</v>
      </c>
      <c r="D333" s="49">
        <f t="shared" si="11"/>
        <v>0</v>
      </c>
      <c r="E333" s="50">
        <f t="shared" si="10"/>
        <v>0</v>
      </c>
      <c r="F333" s="60">
        <f>IF($E333&gt;0,IF(Parameter!$B$10="vorschüssig",_XLL.EDATUM(Parameter!$B$9,(A333-1)*12/Parameter!$B$3),_XLL.EDATUM(Parameter!$B$9,A333*12/Parameter!$B$3)),"")</f>
      </c>
      <c r="H333" s="52"/>
    </row>
    <row r="334" spans="1:8" s="51" customFormat="1" ht="12.75">
      <c r="A334" s="48">
        <v>333</v>
      </c>
      <c r="B334" s="49">
        <f>IF($D333&gt;0,IF($A334&gt;$G$2,$D333*Parameter!$B$8/Parameter!$B$3,$D333*Parameter!$B$2/Parameter!$B$3),0)</f>
        <v>0</v>
      </c>
      <c r="C334" s="49">
        <f>IF($A333&gt;=$G$3,MIN(IF(AND($A334&gt;$G$2,Parameter!$E$9),Parameter!$E$7-Zahlungsplan!$B334,Parameter!$B$5-$B334),$D333),0)</f>
        <v>0</v>
      </c>
      <c r="D334" s="49">
        <f t="shared" si="11"/>
        <v>0</v>
      </c>
      <c r="E334" s="50">
        <f t="shared" si="10"/>
        <v>0</v>
      </c>
      <c r="F334" s="60">
        <f>IF($E334&gt;0,IF(Parameter!$B$10="vorschüssig",_XLL.EDATUM(Parameter!$B$9,(A334-1)*12/Parameter!$B$3),_XLL.EDATUM(Parameter!$B$9,A334*12/Parameter!$B$3)),"")</f>
      </c>
      <c r="H334" s="52"/>
    </row>
    <row r="335" spans="1:8" s="51" customFormat="1" ht="12.75">
      <c r="A335" s="48">
        <v>334</v>
      </c>
      <c r="B335" s="49">
        <f>IF($D334&gt;0,IF($A335&gt;$G$2,$D334*Parameter!$B$8/Parameter!$B$3,$D334*Parameter!$B$2/Parameter!$B$3),0)</f>
        <v>0</v>
      </c>
      <c r="C335" s="49">
        <f>IF($A334&gt;=$G$3,MIN(IF(AND($A335&gt;$G$2,Parameter!$E$9),Parameter!$E$7-Zahlungsplan!$B335,Parameter!$B$5-$B335),$D334),0)</f>
        <v>0</v>
      </c>
      <c r="D335" s="49">
        <f t="shared" si="11"/>
        <v>0</v>
      </c>
      <c r="E335" s="50">
        <f t="shared" si="10"/>
        <v>0</v>
      </c>
      <c r="F335" s="60">
        <f>IF($E335&gt;0,IF(Parameter!$B$10="vorschüssig",_XLL.EDATUM(Parameter!$B$9,(A335-1)*12/Parameter!$B$3),_XLL.EDATUM(Parameter!$B$9,A335*12/Parameter!$B$3)),"")</f>
      </c>
      <c r="H335" s="52"/>
    </row>
    <row r="336" spans="1:8" s="51" customFormat="1" ht="12.75">
      <c r="A336" s="48">
        <v>335</v>
      </c>
      <c r="B336" s="49">
        <f>IF($D335&gt;0,IF($A336&gt;$G$2,$D335*Parameter!$B$8/Parameter!$B$3,$D335*Parameter!$B$2/Parameter!$B$3),0)</f>
        <v>0</v>
      </c>
      <c r="C336" s="49">
        <f>IF($A335&gt;=$G$3,MIN(IF(AND($A336&gt;$G$2,Parameter!$E$9),Parameter!$E$7-Zahlungsplan!$B336,Parameter!$B$5-$B336),$D335),0)</f>
        <v>0</v>
      </c>
      <c r="D336" s="49">
        <f t="shared" si="11"/>
        <v>0</v>
      </c>
      <c r="E336" s="50">
        <f t="shared" si="10"/>
        <v>0</v>
      </c>
      <c r="F336" s="60">
        <f>IF($E336&gt;0,IF(Parameter!$B$10="vorschüssig",_XLL.EDATUM(Parameter!$B$9,(A336-1)*12/Parameter!$B$3),_XLL.EDATUM(Parameter!$B$9,A336*12/Parameter!$B$3)),"")</f>
      </c>
      <c r="H336" s="52"/>
    </row>
    <row r="337" spans="1:8" s="51" customFormat="1" ht="12.75">
      <c r="A337" s="48">
        <v>336</v>
      </c>
      <c r="B337" s="49">
        <f>IF($D336&gt;0,IF($A337&gt;$G$2,$D336*Parameter!$B$8/Parameter!$B$3,$D336*Parameter!$B$2/Parameter!$B$3),0)</f>
        <v>0</v>
      </c>
      <c r="C337" s="49">
        <f>IF($A336&gt;=$G$3,MIN(IF(AND($A337&gt;$G$2,Parameter!$E$9),Parameter!$E$7-Zahlungsplan!$B337,Parameter!$B$5-$B337),$D336),0)</f>
        <v>0</v>
      </c>
      <c r="D337" s="49">
        <f t="shared" si="11"/>
        <v>0</v>
      </c>
      <c r="E337" s="50">
        <f t="shared" si="10"/>
        <v>0</v>
      </c>
      <c r="F337" s="60">
        <f>IF($E337&gt;0,IF(Parameter!$B$10="vorschüssig",_XLL.EDATUM(Parameter!$B$9,(A337-1)*12/Parameter!$B$3),_XLL.EDATUM(Parameter!$B$9,A337*12/Parameter!$B$3)),"")</f>
      </c>
      <c r="H337" s="52"/>
    </row>
    <row r="338" spans="1:8" s="51" customFormat="1" ht="12.75">
      <c r="A338" s="48">
        <v>337</v>
      </c>
      <c r="B338" s="49">
        <f>IF($D337&gt;0,IF($A338&gt;$G$2,$D337*Parameter!$B$8/Parameter!$B$3,$D337*Parameter!$B$2/Parameter!$B$3),0)</f>
        <v>0</v>
      </c>
      <c r="C338" s="49">
        <f>IF($A337&gt;=$G$3,MIN(IF(AND($A338&gt;$G$2,Parameter!$E$9),Parameter!$E$7-Zahlungsplan!$B338,Parameter!$B$5-$B338),$D337),0)</f>
        <v>0</v>
      </c>
      <c r="D338" s="49">
        <f t="shared" si="11"/>
        <v>0</v>
      </c>
      <c r="E338" s="50">
        <f t="shared" si="10"/>
        <v>0</v>
      </c>
      <c r="F338" s="60">
        <f>IF($E338&gt;0,IF(Parameter!$B$10="vorschüssig",_XLL.EDATUM(Parameter!$B$9,(A338-1)*12/Parameter!$B$3),_XLL.EDATUM(Parameter!$B$9,A338*12/Parameter!$B$3)),"")</f>
      </c>
      <c r="H338" s="52"/>
    </row>
    <row r="339" spans="1:8" s="51" customFormat="1" ht="12.75">
      <c r="A339" s="48">
        <v>338</v>
      </c>
      <c r="B339" s="49">
        <f>IF($D338&gt;0,IF($A339&gt;$G$2,$D338*Parameter!$B$8/Parameter!$B$3,$D338*Parameter!$B$2/Parameter!$B$3),0)</f>
        <v>0</v>
      </c>
      <c r="C339" s="49">
        <f>IF($A338&gt;=$G$3,MIN(IF(AND($A339&gt;$G$2,Parameter!$E$9),Parameter!$E$7-Zahlungsplan!$B339,Parameter!$B$5-$B339),$D338),0)</f>
        <v>0</v>
      </c>
      <c r="D339" s="49">
        <f t="shared" si="11"/>
        <v>0</v>
      </c>
      <c r="E339" s="50">
        <f t="shared" si="10"/>
        <v>0</v>
      </c>
      <c r="F339" s="60">
        <f>IF($E339&gt;0,IF(Parameter!$B$10="vorschüssig",_XLL.EDATUM(Parameter!$B$9,(A339-1)*12/Parameter!$B$3),_XLL.EDATUM(Parameter!$B$9,A339*12/Parameter!$B$3)),"")</f>
      </c>
      <c r="H339" s="52"/>
    </row>
    <row r="340" spans="1:8" s="51" customFormat="1" ht="12.75">
      <c r="A340" s="48">
        <v>339</v>
      </c>
      <c r="B340" s="49">
        <f>IF($D339&gt;0,IF($A340&gt;$G$2,$D339*Parameter!$B$8/Parameter!$B$3,$D339*Parameter!$B$2/Parameter!$B$3),0)</f>
        <v>0</v>
      </c>
      <c r="C340" s="49">
        <f>IF($A339&gt;=$G$3,MIN(IF(AND($A340&gt;$G$2,Parameter!$E$9),Parameter!$E$7-Zahlungsplan!$B340,Parameter!$B$5-$B340),$D339),0)</f>
        <v>0</v>
      </c>
      <c r="D340" s="49">
        <f t="shared" si="11"/>
        <v>0</v>
      </c>
      <c r="E340" s="50">
        <f t="shared" si="10"/>
        <v>0</v>
      </c>
      <c r="F340" s="60">
        <f>IF($E340&gt;0,IF(Parameter!$B$10="vorschüssig",_XLL.EDATUM(Parameter!$B$9,(A340-1)*12/Parameter!$B$3),_XLL.EDATUM(Parameter!$B$9,A340*12/Parameter!$B$3)),"")</f>
      </c>
      <c r="H340" s="52"/>
    </row>
    <row r="341" spans="1:8" s="51" customFormat="1" ht="12.75">
      <c r="A341" s="48">
        <v>340</v>
      </c>
      <c r="B341" s="49">
        <f>IF($D340&gt;0,IF($A341&gt;$G$2,$D340*Parameter!$B$8/Parameter!$B$3,$D340*Parameter!$B$2/Parameter!$B$3),0)</f>
        <v>0</v>
      </c>
      <c r="C341" s="49">
        <f>IF($A340&gt;=$G$3,MIN(IF(AND($A341&gt;$G$2,Parameter!$E$9),Parameter!$E$7-Zahlungsplan!$B341,Parameter!$B$5-$B341),$D340),0)</f>
        <v>0</v>
      </c>
      <c r="D341" s="49">
        <f t="shared" si="11"/>
        <v>0</v>
      </c>
      <c r="E341" s="50">
        <f t="shared" si="10"/>
        <v>0</v>
      </c>
      <c r="F341" s="60">
        <f>IF($E341&gt;0,IF(Parameter!$B$10="vorschüssig",_XLL.EDATUM(Parameter!$B$9,(A341-1)*12/Parameter!$B$3),_XLL.EDATUM(Parameter!$B$9,A341*12/Parameter!$B$3)),"")</f>
      </c>
      <c r="H341" s="52"/>
    </row>
    <row r="342" spans="1:8" s="51" customFormat="1" ht="12.75">
      <c r="A342" s="48">
        <v>341</v>
      </c>
      <c r="B342" s="49">
        <f>IF($D341&gt;0,IF($A342&gt;$G$2,$D341*Parameter!$B$8/Parameter!$B$3,$D341*Parameter!$B$2/Parameter!$B$3),0)</f>
        <v>0</v>
      </c>
      <c r="C342" s="49">
        <f>IF($A341&gt;=$G$3,MIN(IF(AND($A342&gt;$G$2,Parameter!$E$9),Parameter!$E$7-Zahlungsplan!$B342,Parameter!$B$5-$B342),$D341),0)</f>
        <v>0</v>
      </c>
      <c r="D342" s="49">
        <f t="shared" si="11"/>
        <v>0</v>
      </c>
      <c r="E342" s="50">
        <f t="shared" si="10"/>
        <v>0</v>
      </c>
      <c r="F342" s="60">
        <f>IF($E342&gt;0,IF(Parameter!$B$10="vorschüssig",_XLL.EDATUM(Parameter!$B$9,(A342-1)*12/Parameter!$B$3),_XLL.EDATUM(Parameter!$B$9,A342*12/Parameter!$B$3)),"")</f>
      </c>
      <c r="H342" s="52"/>
    </row>
    <row r="343" spans="1:8" s="51" customFormat="1" ht="12.75">
      <c r="A343" s="48">
        <v>342</v>
      </c>
      <c r="B343" s="49">
        <f>IF($D342&gt;0,IF($A343&gt;$G$2,$D342*Parameter!$B$8/Parameter!$B$3,$D342*Parameter!$B$2/Parameter!$B$3),0)</f>
        <v>0</v>
      </c>
      <c r="C343" s="49">
        <f>IF($A342&gt;=$G$3,MIN(IF(AND($A343&gt;$G$2,Parameter!$E$9),Parameter!$E$7-Zahlungsplan!$B343,Parameter!$B$5-$B343),$D342),0)</f>
        <v>0</v>
      </c>
      <c r="D343" s="49">
        <f t="shared" si="11"/>
        <v>0</v>
      </c>
      <c r="E343" s="50">
        <f t="shared" si="10"/>
        <v>0</v>
      </c>
      <c r="F343" s="60">
        <f>IF($E343&gt;0,IF(Parameter!$B$10="vorschüssig",_XLL.EDATUM(Parameter!$B$9,(A343-1)*12/Parameter!$B$3),_XLL.EDATUM(Parameter!$B$9,A343*12/Parameter!$B$3)),"")</f>
      </c>
      <c r="H343" s="52"/>
    </row>
    <row r="344" spans="1:8" s="51" customFormat="1" ht="12.75">
      <c r="A344" s="48">
        <v>343</v>
      </c>
      <c r="B344" s="49">
        <f>IF($D343&gt;0,IF($A344&gt;$G$2,$D343*Parameter!$B$8/Parameter!$B$3,$D343*Parameter!$B$2/Parameter!$B$3),0)</f>
        <v>0</v>
      </c>
      <c r="C344" s="49">
        <f>IF($A343&gt;=$G$3,MIN(IF(AND($A344&gt;$G$2,Parameter!$E$9),Parameter!$E$7-Zahlungsplan!$B344,Parameter!$B$5-$B344),$D343),0)</f>
        <v>0</v>
      </c>
      <c r="D344" s="49">
        <f t="shared" si="11"/>
        <v>0</v>
      </c>
      <c r="E344" s="50">
        <f t="shared" si="10"/>
        <v>0</v>
      </c>
      <c r="F344" s="60">
        <f>IF($E344&gt;0,IF(Parameter!$B$10="vorschüssig",_XLL.EDATUM(Parameter!$B$9,(A344-1)*12/Parameter!$B$3),_XLL.EDATUM(Parameter!$B$9,A344*12/Parameter!$B$3)),"")</f>
      </c>
      <c r="H344" s="52"/>
    </row>
    <row r="345" spans="1:8" s="51" customFormat="1" ht="12.75">
      <c r="A345" s="48">
        <v>344</v>
      </c>
      <c r="B345" s="49">
        <f>IF($D344&gt;0,IF($A345&gt;$G$2,$D344*Parameter!$B$8/Parameter!$B$3,$D344*Parameter!$B$2/Parameter!$B$3),0)</f>
        <v>0</v>
      </c>
      <c r="C345" s="49">
        <f>IF($A344&gt;=$G$3,MIN(IF(AND($A345&gt;$G$2,Parameter!$E$9),Parameter!$E$7-Zahlungsplan!$B345,Parameter!$B$5-$B345),$D344),0)</f>
        <v>0</v>
      </c>
      <c r="D345" s="49">
        <f t="shared" si="11"/>
        <v>0</v>
      </c>
      <c r="E345" s="50">
        <f t="shared" si="10"/>
        <v>0</v>
      </c>
      <c r="F345" s="60">
        <f>IF($E345&gt;0,IF(Parameter!$B$10="vorschüssig",_XLL.EDATUM(Parameter!$B$9,(A345-1)*12/Parameter!$B$3),_XLL.EDATUM(Parameter!$B$9,A345*12/Parameter!$B$3)),"")</f>
      </c>
      <c r="H345" s="52"/>
    </row>
    <row r="346" spans="1:8" s="51" customFormat="1" ht="12.75">
      <c r="A346" s="48">
        <v>345</v>
      </c>
      <c r="B346" s="49">
        <f>IF($D345&gt;0,IF($A346&gt;$G$2,$D345*Parameter!$B$8/Parameter!$B$3,$D345*Parameter!$B$2/Parameter!$B$3),0)</f>
        <v>0</v>
      </c>
      <c r="C346" s="49">
        <f>IF($A345&gt;=$G$3,MIN(IF(AND($A346&gt;$G$2,Parameter!$E$9),Parameter!$E$7-Zahlungsplan!$B346,Parameter!$B$5-$B346),$D345),0)</f>
        <v>0</v>
      </c>
      <c r="D346" s="49">
        <f t="shared" si="11"/>
        <v>0</v>
      </c>
      <c r="E346" s="50">
        <f t="shared" si="10"/>
        <v>0</v>
      </c>
      <c r="F346" s="60">
        <f>IF($E346&gt;0,IF(Parameter!$B$10="vorschüssig",_XLL.EDATUM(Parameter!$B$9,(A346-1)*12/Parameter!$B$3),_XLL.EDATUM(Parameter!$B$9,A346*12/Parameter!$B$3)),"")</f>
      </c>
      <c r="H346" s="52"/>
    </row>
    <row r="347" spans="1:8" s="51" customFormat="1" ht="12.75">
      <c r="A347" s="48">
        <v>346</v>
      </c>
      <c r="B347" s="49">
        <f>IF($D346&gt;0,IF($A347&gt;$G$2,$D346*Parameter!$B$8/Parameter!$B$3,$D346*Parameter!$B$2/Parameter!$B$3),0)</f>
        <v>0</v>
      </c>
      <c r="C347" s="49">
        <f>IF($A346&gt;=$G$3,MIN(IF(AND($A347&gt;$G$2,Parameter!$E$9),Parameter!$E$7-Zahlungsplan!$B347,Parameter!$B$5-$B347),$D346),0)</f>
        <v>0</v>
      </c>
      <c r="D347" s="49">
        <f t="shared" si="11"/>
        <v>0</v>
      </c>
      <c r="E347" s="50">
        <f t="shared" si="10"/>
        <v>0</v>
      </c>
      <c r="F347" s="60">
        <f>IF($E347&gt;0,IF(Parameter!$B$10="vorschüssig",_XLL.EDATUM(Parameter!$B$9,(A347-1)*12/Parameter!$B$3),_XLL.EDATUM(Parameter!$B$9,A347*12/Parameter!$B$3)),"")</f>
      </c>
      <c r="H347" s="52"/>
    </row>
    <row r="348" spans="1:8" s="51" customFormat="1" ht="12.75">
      <c r="A348" s="48">
        <v>347</v>
      </c>
      <c r="B348" s="49">
        <f>IF($D347&gt;0,IF($A348&gt;$G$2,$D347*Parameter!$B$8/Parameter!$B$3,$D347*Parameter!$B$2/Parameter!$B$3),0)</f>
        <v>0</v>
      </c>
      <c r="C348" s="49">
        <f>IF($A347&gt;=$G$3,MIN(IF(AND($A348&gt;$G$2,Parameter!$E$9),Parameter!$E$7-Zahlungsplan!$B348,Parameter!$B$5-$B348),$D347),0)</f>
        <v>0</v>
      </c>
      <c r="D348" s="49">
        <f t="shared" si="11"/>
        <v>0</v>
      </c>
      <c r="E348" s="50">
        <f t="shared" si="10"/>
        <v>0</v>
      </c>
      <c r="F348" s="60">
        <f>IF($E348&gt;0,IF(Parameter!$B$10="vorschüssig",_XLL.EDATUM(Parameter!$B$9,(A348-1)*12/Parameter!$B$3),_XLL.EDATUM(Parameter!$B$9,A348*12/Parameter!$B$3)),"")</f>
      </c>
      <c r="H348" s="52"/>
    </row>
    <row r="349" spans="1:8" s="51" customFormat="1" ht="12.75">
      <c r="A349" s="48">
        <v>348</v>
      </c>
      <c r="B349" s="49">
        <f>IF($D348&gt;0,IF($A349&gt;$G$2,$D348*Parameter!$B$8/Parameter!$B$3,$D348*Parameter!$B$2/Parameter!$B$3),0)</f>
        <v>0</v>
      </c>
      <c r="C349" s="49">
        <f>IF($A348&gt;=$G$3,MIN(IF(AND($A349&gt;$G$2,Parameter!$E$9),Parameter!$E$7-Zahlungsplan!$B349,Parameter!$B$5-$B349),$D348),0)</f>
        <v>0</v>
      </c>
      <c r="D349" s="49">
        <f t="shared" si="11"/>
        <v>0</v>
      </c>
      <c r="E349" s="50">
        <f t="shared" si="10"/>
        <v>0</v>
      </c>
      <c r="F349" s="60">
        <f>IF($E349&gt;0,IF(Parameter!$B$10="vorschüssig",_XLL.EDATUM(Parameter!$B$9,(A349-1)*12/Parameter!$B$3),_XLL.EDATUM(Parameter!$B$9,A349*12/Parameter!$B$3)),"")</f>
      </c>
      <c r="H349" s="52"/>
    </row>
    <row r="350" spans="1:8" s="51" customFormat="1" ht="12.75">
      <c r="A350" s="48">
        <v>349</v>
      </c>
      <c r="B350" s="49">
        <f>IF($D349&gt;0,IF($A350&gt;$G$2,$D349*Parameter!$B$8/Parameter!$B$3,$D349*Parameter!$B$2/Parameter!$B$3),0)</f>
        <v>0</v>
      </c>
      <c r="C350" s="49">
        <f>IF($A349&gt;=$G$3,MIN(IF(AND($A350&gt;$G$2,Parameter!$E$9),Parameter!$E$7-Zahlungsplan!$B350,Parameter!$B$5-$B350),$D349),0)</f>
        <v>0</v>
      </c>
      <c r="D350" s="49">
        <f t="shared" si="11"/>
        <v>0</v>
      </c>
      <c r="E350" s="50">
        <f t="shared" si="10"/>
        <v>0</v>
      </c>
      <c r="F350" s="60">
        <f>IF($E350&gt;0,IF(Parameter!$B$10="vorschüssig",_XLL.EDATUM(Parameter!$B$9,(A350-1)*12/Parameter!$B$3),_XLL.EDATUM(Parameter!$B$9,A350*12/Parameter!$B$3)),"")</f>
      </c>
      <c r="H350" s="52"/>
    </row>
    <row r="351" spans="1:8" s="51" customFormat="1" ht="12.75">
      <c r="A351" s="48">
        <v>350</v>
      </c>
      <c r="B351" s="49">
        <f>IF($D350&gt;0,IF($A351&gt;$G$2,$D350*Parameter!$B$8/Parameter!$B$3,$D350*Parameter!$B$2/Parameter!$B$3),0)</f>
        <v>0</v>
      </c>
      <c r="C351" s="49">
        <f>IF($A350&gt;=$G$3,MIN(IF(AND($A351&gt;$G$2,Parameter!$E$9),Parameter!$E$7-Zahlungsplan!$B351,Parameter!$B$5-$B351),$D350),0)</f>
        <v>0</v>
      </c>
      <c r="D351" s="49">
        <f t="shared" si="11"/>
        <v>0</v>
      </c>
      <c r="E351" s="50">
        <f t="shared" si="10"/>
        <v>0</v>
      </c>
      <c r="F351" s="60">
        <f>IF($E351&gt;0,IF(Parameter!$B$10="vorschüssig",_XLL.EDATUM(Parameter!$B$9,(A351-1)*12/Parameter!$B$3),_XLL.EDATUM(Parameter!$B$9,A351*12/Parameter!$B$3)),"")</f>
      </c>
      <c r="H351" s="52"/>
    </row>
    <row r="352" spans="1:8" s="51" customFormat="1" ht="12.75">
      <c r="A352" s="48">
        <v>351</v>
      </c>
      <c r="B352" s="49">
        <f>IF($D351&gt;0,IF($A352&gt;$G$2,$D351*Parameter!$B$8/Parameter!$B$3,$D351*Parameter!$B$2/Parameter!$B$3),0)</f>
        <v>0</v>
      </c>
      <c r="C352" s="49">
        <f>IF($A351&gt;=$G$3,MIN(IF(AND($A352&gt;$G$2,Parameter!$E$9),Parameter!$E$7-Zahlungsplan!$B352,Parameter!$B$5-$B352),$D351),0)</f>
        <v>0</v>
      </c>
      <c r="D352" s="49">
        <f t="shared" si="11"/>
        <v>0</v>
      </c>
      <c r="E352" s="50">
        <f t="shared" si="10"/>
        <v>0</v>
      </c>
      <c r="F352" s="60">
        <f>IF($E352&gt;0,IF(Parameter!$B$10="vorschüssig",_XLL.EDATUM(Parameter!$B$9,(A352-1)*12/Parameter!$B$3),_XLL.EDATUM(Parameter!$B$9,A352*12/Parameter!$B$3)),"")</f>
      </c>
      <c r="H352" s="52"/>
    </row>
    <row r="353" spans="1:8" s="51" customFormat="1" ht="12.75">
      <c r="A353" s="48">
        <v>352</v>
      </c>
      <c r="B353" s="49">
        <f>IF($D352&gt;0,IF($A353&gt;$G$2,$D352*Parameter!$B$8/Parameter!$B$3,$D352*Parameter!$B$2/Parameter!$B$3),0)</f>
        <v>0</v>
      </c>
      <c r="C353" s="49">
        <f>IF($A352&gt;=$G$3,MIN(IF(AND($A353&gt;$G$2,Parameter!$E$9),Parameter!$E$7-Zahlungsplan!$B353,Parameter!$B$5-$B353),$D352),0)</f>
        <v>0</v>
      </c>
      <c r="D353" s="49">
        <f t="shared" si="11"/>
        <v>0</v>
      </c>
      <c r="E353" s="50">
        <f t="shared" si="10"/>
        <v>0</v>
      </c>
      <c r="F353" s="60">
        <f>IF($E353&gt;0,IF(Parameter!$B$10="vorschüssig",_XLL.EDATUM(Parameter!$B$9,(A353-1)*12/Parameter!$B$3),_XLL.EDATUM(Parameter!$B$9,A353*12/Parameter!$B$3)),"")</f>
      </c>
      <c r="H353" s="52"/>
    </row>
    <row r="354" spans="1:8" s="51" customFormat="1" ht="12.75">
      <c r="A354" s="48">
        <v>353</v>
      </c>
      <c r="B354" s="49">
        <f>IF($D353&gt;0,IF($A354&gt;$G$2,$D353*Parameter!$B$8/Parameter!$B$3,$D353*Parameter!$B$2/Parameter!$B$3),0)</f>
        <v>0</v>
      </c>
      <c r="C354" s="49">
        <f>IF($A353&gt;=$G$3,MIN(IF(AND($A354&gt;$G$2,Parameter!$E$9),Parameter!$E$7-Zahlungsplan!$B354,Parameter!$B$5-$B354),$D353),0)</f>
        <v>0</v>
      </c>
      <c r="D354" s="49">
        <f t="shared" si="11"/>
        <v>0</v>
      </c>
      <c r="E354" s="50">
        <f t="shared" si="10"/>
        <v>0</v>
      </c>
      <c r="F354" s="60">
        <f>IF($E354&gt;0,IF(Parameter!$B$10="vorschüssig",_XLL.EDATUM(Parameter!$B$9,(A354-1)*12/Parameter!$B$3),_XLL.EDATUM(Parameter!$B$9,A354*12/Parameter!$B$3)),"")</f>
      </c>
      <c r="H354" s="52"/>
    </row>
    <row r="355" spans="1:8" s="51" customFormat="1" ht="12.75">
      <c r="A355" s="48">
        <v>354</v>
      </c>
      <c r="B355" s="49">
        <f>IF($D354&gt;0,IF($A355&gt;$G$2,$D354*Parameter!$B$8/Parameter!$B$3,$D354*Parameter!$B$2/Parameter!$B$3),0)</f>
        <v>0</v>
      </c>
      <c r="C355" s="49">
        <f>IF($A354&gt;=$G$3,MIN(IF(AND($A355&gt;$G$2,Parameter!$E$9),Parameter!$E$7-Zahlungsplan!$B355,Parameter!$B$5-$B355),$D354),0)</f>
        <v>0</v>
      </c>
      <c r="D355" s="49">
        <f t="shared" si="11"/>
        <v>0</v>
      </c>
      <c r="E355" s="50">
        <f t="shared" si="10"/>
        <v>0</v>
      </c>
      <c r="F355" s="60">
        <f>IF($E355&gt;0,IF(Parameter!$B$10="vorschüssig",_XLL.EDATUM(Parameter!$B$9,(A355-1)*12/Parameter!$B$3),_XLL.EDATUM(Parameter!$B$9,A355*12/Parameter!$B$3)),"")</f>
      </c>
      <c r="H355" s="52"/>
    </row>
    <row r="356" spans="1:8" s="51" customFormat="1" ht="12.75">
      <c r="A356" s="48">
        <v>355</v>
      </c>
      <c r="B356" s="49">
        <f>IF($D355&gt;0,IF($A356&gt;$G$2,$D355*Parameter!$B$8/Parameter!$B$3,$D355*Parameter!$B$2/Parameter!$B$3),0)</f>
        <v>0</v>
      </c>
      <c r="C356" s="49">
        <f>IF($A355&gt;=$G$3,MIN(IF(AND($A356&gt;$G$2,Parameter!$E$9),Parameter!$E$7-Zahlungsplan!$B356,Parameter!$B$5-$B356),$D355),0)</f>
        <v>0</v>
      </c>
      <c r="D356" s="49">
        <f t="shared" si="11"/>
        <v>0</v>
      </c>
      <c r="E356" s="50">
        <f t="shared" si="10"/>
        <v>0</v>
      </c>
      <c r="F356" s="60">
        <f>IF($E356&gt;0,IF(Parameter!$B$10="vorschüssig",_XLL.EDATUM(Parameter!$B$9,(A356-1)*12/Parameter!$B$3),_XLL.EDATUM(Parameter!$B$9,A356*12/Parameter!$B$3)),"")</f>
      </c>
      <c r="H356" s="52"/>
    </row>
    <row r="357" spans="1:8" s="51" customFormat="1" ht="12.75">
      <c r="A357" s="48">
        <v>356</v>
      </c>
      <c r="B357" s="49">
        <f>IF($D356&gt;0,IF($A357&gt;$G$2,$D356*Parameter!$B$8/Parameter!$B$3,$D356*Parameter!$B$2/Parameter!$B$3),0)</f>
        <v>0</v>
      </c>
      <c r="C357" s="49">
        <f>IF($A356&gt;=$G$3,MIN(IF(AND($A357&gt;$G$2,Parameter!$E$9),Parameter!$E$7-Zahlungsplan!$B357,Parameter!$B$5-$B357),$D356),0)</f>
        <v>0</v>
      </c>
      <c r="D357" s="49">
        <f t="shared" si="11"/>
        <v>0</v>
      </c>
      <c r="E357" s="50">
        <f t="shared" si="10"/>
        <v>0</v>
      </c>
      <c r="F357" s="60">
        <f>IF($E357&gt;0,IF(Parameter!$B$10="vorschüssig",_XLL.EDATUM(Parameter!$B$9,(A357-1)*12/Parameter!$B$3),_XLL.EDATUM(Parameter!$B$9,A357*12/Parameter!$B$3)),"")</f>
      </c>
      <c r="H357" s="52"/>
    </row>
    <row r="358" spans="1:8" s="51" customFormat="1" ht="12.75">
      <c r="A358" s="48">
        <v>357</v>
      </c>
      <c r="B358" s="49">
        <f>IF($D357&gt;0,IF($A358&gt;$G$2,$D357*Parameter!$B$8/Parameter!$B$3,$D357*Parameter!$B$2/Parameter!$B$3),0)</f>
        <v>0</v>
      </c>
      <c r="C358" s="49">
        <f>IF($A357&gt;=$G$3,MIN(IF(AND($A358&gt;$G$2,Parameter!$E$9),Parameter!$E$7-Zahlungsplan!$B358,Parameter!$B$5-$B358),$D357),0)</f>
        <v>0</v>
      </c>
      <c r="D358" s="49">
        <f t="shared" si="11"/>
        <v>0</v>
      </c>
      <c r="E358" s="50">
        <f t="shared" si="10"/>
        <v>0</v>
      </c>
      <c r="F358" s="60">
        <f>IF($E358&gt;0,IF(Parameter!$B$10="vorschüssig",_XLL.EDATUM(Parameter!$B$9,(A358-1)*12/Parameter!$B$3),_XLL.EDATUM(Parameter!$B$9,A358*12/Parameter!$B$3)),"")</f>
      </c>
      <c r="H358" s="52"/>
    </row>
    <row r="359" spans="1:8" s="51" customFormat="1" ht="12.75">
      <c r="A359" s="48">
        <v>358</v>
      </c>
      <c r="B359" s="49">
        <f>IF($D358&gt;0,IF($A359&gt;$G$2,$D358*Parameter!$B$8/Parameter!$B$3,$D358*Parameter!$B$2/Parameter!$B$3),0)</f>
        <v>0</v>
      </c>
      <c r="C359" s="49">
        <f>IF($A358&gt;=$G$3,MIN(IF(AND($A359&gt;$G$2,Parameter!$E$9),Parameter!$E$7-Zahlungsplan!$B359,Parameter!$B$5-$B359),$D358),0)</f>
        <v>0</v>
      </c>
      <c r="D359" s="49">
        <f t="shared" si="11"/>
        <v>0</v>
      </c>
      <c r="E359" s="50">
        <f t="shared" si="10"/>
        <v>0</v>
      </c>
      <c r="F359" s="60">
        <f>IF($E359&gt;0,IF(Parameter!$B$10="vorschüssig",_XLL.EDATUM(Parameter!$B$9,(A359-1)*12/Parameter!$B$3),_XLL.EDATUM(Parameter!$B$9,A359*12/Parameter!$B$3)),"")</f>
      </c>
      <c r="H359" s="52"/>
    </row>
    <row r="360" spans="1:8" s="51" customFormat="1" ht="12.75">
      <c r="A360" s="48">
        <v>359</v>
      </c>
      <c r="B360" s="49">
        <f>IF($D359&gt;0,IF($A360&gt;$G$2,$D359*Parameter!$B$8/Parameter!$B$3,$D359*Parameter!$B$2/Parameter!$B$3),0)</f>
        <v>0</v>
      </c>
      <c r="C360" s="49">
        <f>IF($A359&gt;=$G$3,MIN(IF(AND($A360&gt;$G$2,Parameter!$E$9),Parameter!$E$7-Zahlungsplan!$B360,Parameter!$B$5-$B360),$D359),0)</f>
        <v>0</v>
      </c>
      <c r="D360" s="49">
        <f t="shared" si="11"/>
        <v>0</v>
      </c>
      <c r="E360" s="50">
        <f t="shared" si="10"/>
        <v>0</v>
      </c>
      <c r="F360" s="60">
        <f>IF($E360&gt;0,IF(Parameter!$B$10="vorschüssig",_XLL.EDATUM(Parameter!$B$9,(A360-1)*12/Parameter!$B$3),_XLL.EDATUM(Parameter!$B$9,A360*12/Parameter!$B$3)),"")</f>
      </c>
      <c r="H360" s="52"/>
    </row>
    <row r="361" spans="1:8" s="51" customFormat="1" ht="12.75">
      <c r="A361" s="48">
        <v>360</v>
      </c>
      <c r="B361" s="49">
        <f>IF($D360&gt;0,IF($A361&gt;$G$2,$D360*Parameter!$B$8/Parameter!$B$3,$D360*Parameter!$B$2/Parameter!$B$3),0)</f>
        <v>0</v>
      </c>
      <c r="C361" s="49">
        <f>IF($A360&gt;=$G$3,MIN(IF(AND($A361&gt;$G$2,Parameter!$E$9),Parameter!$E$7-Zahlungsplan!$B361,Parameter!$B$5-$B361),$D360),0)</f>
        <v>0</v>
      </c>
      <c r="D361" s="49">
        <f t="shared" si="11"/>
        <v>0</v>
      </c>
      <c r="E361" s="50">
        <f t="shared" si="10"/>
        <v>0</v>
      </c>
      <c r="F361" s="60">
        <f>IF($E361&gt;0,IF(Parameter!$B$10="vorschüssig",_XLL.EDATUM(Parameter!$B$9,(A361-1)*12/Parameter!$B$3),_XLL.EDATUM(Parameter!$B$9,A361*12/Parameter!$B$3)),"")</f>
      </c>
      <c r="H361" s="52"/>
    </row>
    <row r="362" spans="1:8" s="46" customFormat="1" ht="12.75">
      <c r="A362" s="43">
        <v>361</v>
      </c>
      <c r="B362" s="44">
        <f>IF($D361&gt;0,IF($A362&gt;$G$2,$D361*Parameter!$B$8/Parameter!$B$3,$D361*Parameter!$B$2/Parameter!$B$3),0)</f>
        <v>0</v>
      </c>
      <c r="C362" s="44">
        <f>IF($A361&gt;=$G$3,MIN(IF(AND($A362&gt;$G$2,Parameter!$E$9),Parameter!$E$7-Zahlungsplan!$B362,Parameter!$B$5-$B362),$D361),0)</f>
        <v>0</v>
      </c>
      <c r="D362" s="44">
        <f t="shared" si="11"/>
        <v>0</v>
      </c>
      <c r="E362" s="45">
        <f t="shared" si="10"/>
        <v>0</v>
      </c>
      <c r="F362" s="59">
        <f>IF($E362&gt;0,IF(Parameter!$B$10="vorschüssig",_XLL.EDATUM(Parameter!$B$9,(A362-1)*12/Parameter!$B$3),_XLL.EDATUM(Parameter!$B$9,A362*12/Parameter!$B$3)),"")</f>
      </c>
      <c r="H362" s="47"/>
    </row>
    <row r="363" spans="1:8" s="46" customFormat="1" ht="12.75">
      <c r="A363" s="43">
        <v>362</v>
      </c>
      <c r="B363" s="44">
        <f>IF($D362&gt;0,IF($A363&gt;$G$2,$D362*Parameter!$B$8/Parameter!$B$3,$D362*Parameter!$B$2/Parameter!$B$3),0)</f>
        <v>0</v>
      </c>
      <c r="C363" s="44">
        <f>IF($A362&gt;=$G$3,MIN(IF(AND($A363&gt;$G$2,Parameter!$E$9),Parameter!$E$7-Zahlungsplan!$B363,Parameter!$B$5-$B363),$D362),0)</f>
        <v>0</v>
      </c>
      <c r="D363" s="44">
        <f t="shared" si="11"/>
        <v>0</v>
      </c>
      <c r="E363" s="45">
        <f t="shared" si="10"/>
        <v>0</v>
      </c>
      <c r="F363" s="59">
        <f>IF($E363&gt;0,IF(Parameter!$B$10="vorschüssig",_XLL.EDATUM(Parameter!$B$9,(A363-1)*12/Parameter!$B$3),_XLL.EDATUM(Parameter!$B$9,A363*12/Parameter!$B$3)),"")</f>
      </c>
      <c r="H363" s="47"/>
    </row>
    <row r="364" spans="1:8" s="46" customFormat="1" ht="12.75">
      <c r="A364" s="43">
        <v>363</v>
      </c>
      <c r="B364" s="44">
        <f>IF($D363&gt;0,IF($A364&gt;$G$2,$D363*Parameter!$B$8/Parameter!$B$3,$D363*Parameter!$B$2/Parameter!$B$3),0)</f>
        <v>0</v>
      </c>
      <c r="C364" s="44">
        <f>IF($A363&gt;=$G$3,MIN(IF(AND($A364&gt;$G$2,Parameter!$E$9),Parameter!$E$7-Zahlungsplan!$B364,Parameter!$B$5-$B364),$D363),0)</f>
        <v>0</v>
      </c>
      <c r="D364" s="44">
        <f t="shared" si="11"/>
        <v>0</v>
      </c>
      <c r="E364" s="45">
        <f t="shared" si="10"/>
        <v>0</v>
      </c>
      <c r="F364" s="59">
        <f>IF($E364&gt;0,IF(Parameter!$B$10="vorschüssig",_XLL.EDATUM(Parameter!$B$9,(A364-1)*12/Parameter!$B$3),_XLL.EDATUM(Parameter!$B$9,A364*12/Parameter!$B$3)),"")</f>
      </c>
      <c r="H364" s="47"/>
    </row>
    <row r="365" spans="1:8" s="46" customFormat="1" ht="12.75">
      <c r="A365" s="43">
        <v>364</v>
      </c>
      <c r="B365" s="44">
        <f>IF($D364&gt;0,IF($A365&gt;$G$2,$D364*Parameter!$B$8/Parameter!$B$3,$D364*Parameter!$B$2/Parameter!$B$3),0)</f>
        <v>0</v>
      </c>
      <c r="C365" s="44">
        <f>IF($A364&gt;=$G$3,MIN(IF(AND($A365&gt;$G$2,Parameter!$E$9),Parameter!$E$7-Zahlungsplan!$B365,Parameter!$B$5-$B365),$D364),0)</f>
        <v>0</v>
      </c>
      <c r="D365" s="44">
        <f t="shared" si="11"/>
        <v>0</v>
      </c>
      <c r="E365" s="45">
        <f t="shared" si="10"/>
        <v>0</v>
      </c>
      <c r="F365" s="59">
        <f>IF($E365&gt;0,IF(Parameter!$B$10="vorschüssig",_XLL.EDATUM(Parameter!$B$9,(A365-1)*12/Parameter!$B$3),_XLL.EDATUM(Parameter!$B$9,A365*12/Parameter!$B$3)),"")</f>
      </c>
      <c r="H365" s="47"/>
    </row>
    <row r="366" spans="1:8" s="46" customFormat="1" ht="12.75">
      <c r="A366" s="43">
        <v>365</v>
      </c>
      <c r="B366" s="44">
        <f>IF($D365&gt;0,IF($A366&gt;$G$2,$D365*Parameter!$B$8/Parameter!$B$3,$D365*Parameter!$B$2/Parameter!$B$3),0)</f>
        <v>0</v>
      </c>
      <c r="C366" s="44">
        <f>IF($A365&gt;=$G$3,MIN(IF(AND($A366&gt;$G$2,Parameter!$E$9),Parameter!$E$7-Zahlungsplan!$B366,Parameter!$B$5-$B366),$D365),0)</f>
        <v>0</v>
      </c>
      <c r="D366" s="44">
        <f t="shared" si="11"/>
        <v>0</v>
      </c>
      <c r="E366" s="45">
        <f t="shared" si="10"/>
        <v>0</v>
      </c>
      <c r="F366" s="59">
        <f>IF($E366&gt;0,IF(Parameter!$B$10="vorschüssig",_XLL.EDATUM(Parameter!$B$9,(A366-1)*12/Parameter!$B$3),_XLL.EDATUM(Parameter!$B$9,A366*12/Parameter!$B$3)),"")</f>
      </c>
      <c r="H366" s="47"/>
    </row>
    <row r="367" spans="1:8" s="46" customFormat="1" ht="12.75">
      <c r="A367" s="43">
        <v>366</v>
      </c>
      <c r="B367" s="44">
        <f>IF($D366&gt;0,IF($A367&gt;$G$2,$D366*Parameter!$B$8/Parameter!$B$3,$D366*Parameter!$B$2/Parameter!$B$3),0)</f>
        <v>0</v>
      </c>
      <c r="C367" s="44">
        <f>IF($A366&gt;=$G$3,MIN(IF(AND($A367&gt;$G$2,Parameter!$E$9),Parameter!$E$7-Zahlungsplan!$B367,Parameter!$B$5-$B367),$D366),0)</f>
        <v>0</v>
      </c>
      <c r="D367" s="44">
        <f t="shared" si="11"/>
        <v>0</v>
      </c>
      <c r="E367" s="45">
        <f t="shared" si="10"/>
        <v>0</v>
      </c>
      <c r="F367" s="59">
        <f>IF($E367&gt;0,IF(Parameter!$B$10="vorschüssig",_XLL.EDATUM(Parameter!$B$9,(A367-1)*12/Parameter!$B$3),_XLL.EDATUM(Parameter!$B$9,A367*12/Parameter!$B$3)),"")</f>
      </c>
      <c r="H367" s="47"/>
    </row>
    <row r="368" spans="1:8" s="46" customFormat="1" ht="12.75">
      <c r="A368" s="43">
        <v>367</v>
      </c>
      <c r="B368" s="44">
        <f>IF($D367&gt;0,IF($A368&gt;$G$2,$D367*Parameter!$B$8/Parameter!$B$3,$D367*Parameter!$B$2/Parameter!$B$3),0)</f>
        <v>0</v>
      </c>
      <c r="C368" s="44">
        <f>IF($A367&gt;=$G$3,MIN(IF(AND($A368&gt;$G$2,Parameter!$E$9),Parameter!$E$7-Zahlungsplan!$B368,Parameter!$B$5-$B368),$D367),0)</f>
        <v>0</v>
      </c>
      <c r="D368" s="44">
        <f t="shared" si="11"/>
        <v>0</v>
      </c>
      <c r="E368" s="45">
        <f t="shared" si="10"/>
        <v>0</v>
      </c>
      <c r="F368" s="59">
        <f>IF($E368&gt;0,IF(Parameter!$B$10="vorschüssig",_XLL.EDATUM(Parameter!$B$9,(A368-1)*12/Parameter!$B$3),_XLL.EDATUM(Parameter!$B$9,A368*12/Parameter!$B$3)),"")</f>
      </c>
      <c r="H368" s="47"/>
    </row>
    <row r="369" spans="1:8" s="46" customFormat="1" ht="12.75">
      <c r="A369" s="43">
        <v>368</v>
      </c>
      <c r="B369" s="44">
        <f>IF($D368&gt;0,IF($A369&gt;$G$2,$D368*Parameter!$B$8/Parameter!$B$3,$D368*Parameter!$B$2/Parameter!$B$3),0)</f>
        <v>0</v>
      </c>
      <c r="C369" s="44">
        <f>IF($A368&gt;=$G$3,MIN(IF(AND($A369&gt;$G$2,Parameter!$E$9),Parameter!$E$7-Zahlungsplan!$B369,Parameter!$B$5-$B369),$D368),0)</f>
        <v>0</v>
      </c>
      <c r="D369" s="44">
        <f t="shared" si="11"/>
        <v>0</v>
      </c>
      <c r="E369" s="45">
        <f t="shared" si="10"/>
        <v>0</v>
      </c>
      <c r="F369" s="59">
        <f>IF($E369&gt;0,IF(Parameter!$B$10="vorschüssig",_XLL.EDATUM(Parameter!$B$9,(A369-1)*12/Parameter!$B$3),_XLL.EDATUM(Parameter!$B$9,A369*12/Parameter!$B$3)),"")</f>
      </c>
      <c r="H369" s="47"/>
    </row>
    <row r="370" spans="1:8" s="46" customFormat="1" ht="12.75">
      <c r="A370" s="43">
        <v>369</v>
      </c>
      <c r="B370" s="44">
        <f>IF($D369&gt;0,IF($A370&gt;$G$2,$D369*Parameter!$B$8/Parameter!$B$3,$D369*Parameter!$B$2/Parameter!$B$3),0)</f>
        <v>0</v>
      </c>
      <c r="C370" s="44">
        <f>IF($A369&gt;=$G$3,MIN(IF(AND($A370&gt;$G$2,Parameter!$E$9),Parameter!$E$7-Zahlungsplan!$B370,Parameter!$B$5-$B370),$D369),0)</f>
        <v>0</v>
      </c>
      <c r="D370" s="44">
        <f t="shared" si="11"/>
        <v>0</v>
      </c>
      <c r="E370" s="45">
        <f t="shared" si="10"/>
        <v>0</v>
      </c>
      <c r="F370" s="59">
        <f>IF($E370&gt;0,IF(Parameter!$B$10="vorschüssig",_XLL.EDATUM(Parameter!$B$9,(A370-1)*12/Parameter!$B$3),_XLL.EDATUM(Parameter!$B$9,A370*12/Parameter!$B$3)),"")</f>
      </c>
      <c r="H370" s="47"/>
    </row>
    <row r="371" spans="1:8" s="46" customFormat="1" ht="12.75">
      <c r="A371" s="43">
        <v>370</v>
      </c>
      <c r="B371" s="44">
        <f>IF($D370&gt;0,IF($A371&gt;$G$2,$D370*Parameter!$B$8/Parameter!$B$3,$D370*Parameter!$B$2/Parameter!$B$3),0)</f>
        <v>0</v>
      </c>
      <c r="C371" s="44">
        <f>IF($A370&gt;=$G$3,MIN(IF(AND($A371&gt;$G$2,Parameter!$E$9),Parameter!$E$7-Zahlungsplan!$B371,Parameter!$B$5-$B371),$D370),0)</f>
        <v>0</v>
      </c>
      <c r="D371" s="44">
        <f t="shared" si="11"/>
        <v>0</v>
      </c>
      <c r="E371" s="45">
        <f t="shared" si="10"/>
        <v>0</v>
      </c>
      <c r="F371" s="59">
        <f>IF($E371&gt;0,IF(Parameter!$B$10="vorschüssig",_XLL.EDATUM(Parameter!$B$9,(A371-1)*12/Parameter!$B$3),_XLL.EDATUM(Parameter!$B$9,A371*12/Parameter!$B$3)),"")</f>
      </c>
      <c r="H371" s="47"/>
    </row>
    <row r="372" spans="1:8" s="46" customFormat="1" ht="12.75">
      <c r="A372" s="43">
        <v>371</v>
      </c>
      <c r="B372" s="44">
        <f>IF($D371&gt;0,IF($A372&gt;$G$2,$D371*Parameter!$B$8/Parameter!$B$3,$D371*Parameter!$B$2/Parameter!$B$3),0)</f>
        <v>0</v>
      </c>
      <c r="C372" s="44">
        <f>IF($A371&gt;=$G$3,MIN(IF(AND($A372&gt;$G$2,Parameter!$E$9),Parameter!$E$7-Zahlungsplan!$B372,Parameter!$B$5-$B372),$D371),0)</f>
        <v>0</v>
      </c>
      <c r="D372" s="44">
        <f t="shared" si="11"/>
        <v>0</v>
      </c>
      <c r="E372" s="45">
        <f t="shared" si="10"/>
        <v>0</v>
      </c>
      <c r="F372" s="59">
        <f>IF($E372&gt;0,IF(Parameter!$B$10="vorschüssig",_XLL.EDATUM(Parameter!$B$9,(A372-1)*12/Parameter!$B$3),_XLL.EDATUM(Parameter!$B$9,A372*12/Parameter!$B$3)),"")</f>
      </c>
      <c r="H372" s="47"/>
    </row>
    <row r="373" spans="1:8" s="46" customFormat="1" ht="12.75">
      <c r="A373" s="43">
        <v>372</v>
      </c>
      <c r="B373" s="44">
        <f>IF($D372&gt;0,IF($A373&gt;$G$2,$D372*Parameter!$B$8/Parameter!$B$3,$D372*Parameter!$B$2/Parameter!$B$3),0)</f>
        <v>0</v>
      </c>
      <c r="C373" s="44">
        <f>IF($A372&gt;=$G$3,MIN(IF(AND($A373&gt;$G$2,Parameter!$E$9),Parameter!$E$7-Zahlungsplan!$B373,Parameter!$B$5-$B373),$D372),0)</f>
        <v>0</v>
      </c>
      <c r="D373" s="44">
        <f t="shared" si="11"/>
        <v>0</v>
      </c>
      <c r="E373" s="45">
        <f t="shared" si="10"/>
        <v>0</v>
      </c>
      <c r="F373" s="59">
        <f>IF($E373&gt;0,IF(Parameter!$B$10="vorschüssig",_XLL.EDATUM(Parameter!$B$9,(A373-1)*12/Parameter!$B$3),_XLL.EDATUM(Parameter!$B$9,A373*12/Parameter!$B$3)),"")</f>
      </c>
      <c r="H373" s="47"/>
    </row>
    <row r="374" spans="1:8" s="46" customFormat="1" ht="12.75">
      <c r="A374" s="43">
        <v>373</v>
      </c>
      <c r="B374" s="44">
        <f>IF($D373&gt;0,IF($A374&gt;$G$2,$D373*Parameter!$B$8/Parameter!$B$3,$D373*Parameter!$B$2/Parameter!$B$3),0)</f>
        <v>0</v>
      </c>
      <c r="C374" s="44">
        <f>IF($A373&gt;=$G$3,MIN(IF(AND($A374&gt;$G$2,Parameter!$E$9),Parameter!$E$7-Zahlungsplan!$B374,Parameter!$B$5-$B374),$D373),0)</f>
        <v>0</v>
      </c>
      <c r="D374" s="44">
        <f t="shared" si="11"/>
        <v>0</v>
      </c>
      <c r="E374" s="45">
        <f t="shared" si="10"/>
        <v>0</v>
      </c>
      <c r="F374" s="59">
        <f>IF($E374&gt;0,IF(Parameter!$B$10="vorschüssig",_XLL.EDATUM(Parameter!$B$9,(A374-1)*12/Parameter!$B$3),_XLL.EDATUM(Parameter!$B$9,A374*12/Parameter!$B$3)),"")</f>
      </c>
      <c r="H374" s="47"/>
    </row>
    <row r="375" spans="1:8" s="46" customFormat="1" ht="12.75">
      <c r="A375" s="43">
        <v>374</v>
      </c>
      <c r="B375" s="44">
        <f>IF($D374&gt;0,IF($A375&gt;$G$2,$D374*Parameter!$B$8/Parameter!$B$3,$D374*Parameter!$B$2/Parameter!$B$3),0)</f>
        <v>0</v>
      </c>
      <c r="C375" s="44">
        <f>IF($A374&gt;=$G$3,MIN(IF(AND($A375&gt;$G$2,Parameter!$E$9),Parameter!$E$7-Zahlungsplan!$B375,Parameter!$B$5-$B375),$D374),0)</f>
        <v>0</v>
      </c>
      <c r="D375" s="44">
        <f t="shared" si="11"/>
        <v>0</v>
      </c>
      <c r="E375" s="45">
        <f t="shared" si="10"/>
        <v>0</v>
      </c>
      <c r="F375" s="59">
        <f>IF($E375&gt;0,IF(Parameter!$B$10="vorschüssig",_XLL.EDATUM(Parameter!$B$9,(A375-1)*12/Parameter!$B$3),_XLL.EDATUM(Parameter!$B$9,A375*12/Parameter!$B$3)),"")</f>
      </c>
      <c r="H375" s="47"/>
    </row>
    <row r="376" spans="1:8" s="46" customFormat="1" ht="12.75">
      <c r="A376" s="43">
        <v>375</v>
      </c>
      <c r="B376" s="44">
        <f>IF($D375&gt;0,IF($A376&gt;$G$2,$D375*Parameter!$B$8/Parameter!$B$3,$D375*Parameter!$B$2/Parameter!$B$3),0)</f>
        <v>0</v>
      </c>
      <c r="C376" s="44">
        <f>IF($A375&gt;=$G$3,MIN(IF(AND($A376&gt;$G$2,Parameter!$E$9),Parameter!$E$7-Zahlungsplan!$B376,Parameter!$B$5-$B376),$D375),0)</f>
        <v>0</v>
      </c>
      <c r="D376" s="44">
        <f t="shared" si="11"/>
        <v>0</v>
      </c>
      <c r="E376" s="45">
        <f t="shared" si="10"/>
        <v>0</v>
      </c>
      <c r="F376" s="59">
        <f>IF($E376&gt;0,IF(Parameter!$B$10="vorschüssig",_XLL.EDATUM(Parameter!$B$9,(A376-1)*12/Parameter!$B$3),_XLL.EDATUM(Parameter!$B$9,A376*12/Parameter!$B$3)),"")</f>
      </c>
      <c r="H376" s="47"/>
    </row>
    <row r="377" spans="1:8" s="46" customFormat="1" ht="12.75">
      <c r="A377" s="43">
        <v>376</v>
      </c>
      <c r="B377" s="44">
        <f>IF($D376&gt;0,IF($A377&gt;$G$2,$D376*Parameter!$B$8/Parameter!$B$3,$D376*Parameter!$B$2/Parameter!$B$3),0)</f>
        <v>0</v>
      </c>
      <c r="C377" s="44">
        <f>IF($A376&gt;=$G$3,MIN(IF(AND($A377&gt;$G$2,Parameter!$E$9),Parameter!$E$7-Zahlungsplan!$B377,Parameter!$B$5-$B377),$D376),0)</f>
        <v>0</v>
      </c>
      <c r="D377" s="44">
        <f t="shared" si="11"/>
        <v>0</v>
      </c>
      <c r="E377" s="45">
        <f t="shared" si="10"/>
        <v>0</v>
      </c>
      <c r="F377" s="59">
        <f>IF($E377&gt;0,IF(Parameter!$B$10="vorschüssig",_XLL.EDATUM(Parameter!$B$9,(A377-1)*12/Parameter!$B$3),_XLL.EDATUM(Parameter!$B$9,A377*12/Parameter!$B$3)),"")</f>
      </c>
      <c r="H377" s="47"/>
    </row>
    <row r="378" spans="1:8" s="46" customFormat="1" ht="12.75">
      <c r="A378" s="43">
        <v>377</v>
      </c>
      <c r="B378" s="44">
        <f>IF($D377&gt;0,IF($A378&gt;$G$2,$D377*Parameter!$B$8/Parameter!$B$3,$D377*Parameter!$B$2/Parameter!$B$3),0)</f>
        <v>0</v>
      </c>
      <c r="C378" s="44">
        <f>IF($A377&gt;=$G$3,MIN(IF(AND($A378&gt;$G$2,Parameter!$E$9),Parameter!$E$7-Zahlungsplan!$B378,Parameter!$B$5-$B378),$D377),0)</f>
        <v>0</v>
      </c>
      <c r="D378" s="44">
        <f t="shared" si="11"/>
        <v>0</v>
      </c>
      <c r="E378" s="45">
        <f t="shared" si="10"/>
        <v>0</v>
      </c>
      <c r="F378" s="59">
        <f>IF($E378&gt;0,IF(Parameter!$B$10="vorschüssig",_XLL.EDATUM(Parameter!$B$9,(A378-1)*12/Parameter!$B$3),_XLL.EDATUM(Parameter!$B$9,A378*12/Parameter!$B$3)),"")</f>
      </c>
      <c r="H378" s="47"/>
    </row>
    <row r="379" spans="1:8" s="46" customFormat="1" ht="12.75">
      <c r="A379" s="43">
        <v>378</v>
      </c>
      <c r="B379" s="44">
        <f>IF($D378&gt;0,IF($A379&gt;$G$2,$D378*Parameter!$B$8/Parameter!$B$3,$D378*Parameter!$B$2/Parameter!$B$3),0)</f>
        <v>0</v>
      </c>
      <c r="C379" s="44">
        <f>IF($A378&gt;=$G$3,MIN(IF(AND($A379&gt;$G$2,Parameter!$E$9),Parameter!$E$7-Zahlungsplan!$B379,Parameter!$B$5-$B379),$D378),0)</f>
        <v>0</v>
      </c>
      <c r="D379" s="44">
        <f t="shared" si="11"/>
        <v>0</v>
      </c>
      <c r="E379" s="45">
        <f t="shared" si="10"/>
        <v>0</v>
      </c>
      <c r="F379" s="59">
        <f>IF($E379&gt;0,IF(Parameter!$B$10="vorschüssig",_XLL.EDATUM(Parameter!$B$9,(A379-1)*12/Parameter!$B$3),_XLL.EDATUM(Parameter!$B$9,A379*12/Parameter!$B$3)),"")</f>
      </c>
      <c r="H379" s="47"/>
    </row>
    <row r="380" spans="1:8" s="46" customFormat="1" ht="12.75">
      <c r="A380" s="43">
        <v>379</v>
      </c>
      <c r="B380" s="44">
        <f>IF($D379&gt;0,IF($A380&gt;$G$2,$D379*Parameter!$B$8/Parameter!$B$3,$D379*Parameter!$B$2/Parameter!$B$3),0)</f>
        <v>0</v>
      </c>
      <c r="C380" s="44">
        <f>IF($A379&gt;=$G$3,MIN(IF(AND($A380&gt;$G$2,Parameter!$E$9),Parameter!$E$7-Zahlungsplan!$B380,Parameter!$B$5-$B380),$D379),0)</f>
        <v>0</v>
      </c>
      <c r="D380" s="44">
        <f t="shared" si="11"/>
        <v>0</v>
      </c>
      <c r="E380" s="45">
        <f t="shared" si="10"/>
        <v>0</v>
      </c>
      <c r="F380" s="59">
        <f>IF($E380&gt;0,IF(Parameter!$B$10="vorschüssig",_XLL.EDATUM(Parameter!$B$9,(A380-1)*12/Parameter!$B$3),_XLL.EDATUM(Parameter!$B$9,A380*12/Parameter!$B$3)),"")</f>
      </c>
      <c r="H380" s="47"/>
    </row>
    <row r="381" spans="1:8" s="46" customFormat="1" ht="12.75">
      <c r="A381" s="43">
        <v>380</v>
      </c>
      <c r="B381" s="44">
        <f>IF($D380&gt;0,IF($A381&gt;$G$2,$D380*Parameter!$B$8/Parameter!$B$3,$D380*Parameter!$B$2/Parameter!$B$3),0)</f>
        <v>0</v>
      </c>
      <c r="C381" s="44">
        <f>IF($A380&gt;=$G$3,MIN(IF(AND($A381&gt;$G$2,Parameter!$E$9),Parameter!$E$7-Zahlungsplan!$B381,Parameter!$B$5-$B381),$D380),0)</f>
        <v>0</v>
      </c>
      <c r="D381" s="44">
        <f t="shared" si="11"/>
        <v>0</v>
      </c>
      <c r="E381" s="45">
        <f t="shared" si="10"/>
        <v>0</v>
      </c>
      <c r="F381" s="59">
        <f>IF($E381&gt;0,IF(Parameter!$B$10="vorschüssig",_XLL.EDATUM(Parameter!$B$9,(A381-1)*12/Parameter!$B$3),_XLL.EDATUM(Parameter!$B$9,A381*12/Parameter!$B$3)),"")</f>
      </c>
      <c r="H381" s="47"/>
    </row>
    <row r="382" spans="1:8" s="46" customFormat="1" ht="12.75">
      <c r="A382" s="43">
        <v>381</v>
      </c>
      <c r="B382" s="44">
        <f>IF($D381&gt;0,IF($A382&gt;$G$2,$D381*Parameter!$B$8/Parameter!$B$3,$D381*Parameter!$B$2/Parameter!$B$3),0)</f>
        <v>0</v>
      </c>
      <c r="C382" s="44">
        <f>IF($A381&gt;=$G$3,MIN(IF(AND($A382&gt;$G$2,Parameter!$E$9),Parameter!$E$7-Zahlungsplan!$B382,Parameter!$B$5-$B382),$D381),0)</f>
        <v>0</v>
      </c>
      <c r="D382" s="44">
        <f t="shared" si="11"/>
        <v>0</v>
      </c>
      <c r="E382" s="45">
        <f t="shared" si="10"/>
        <v>0</v>
      </c>
      <c r="F382" s="59">
        <f>IF($E382&gt;0,IF(Parameter!$B$10="vorschüssig",_XLL.EDATUM(Parameter!$B$9,(A382-1)*12/Parameter!$B$3),_XLL.EDATUM(Parameter!$B$9,A382*12/Parameter!$B$3)),"")</f>
      </c>
      <c r="H382" s="47"/>
    </row>
    <row r="383" spans="1:8" s="46" customFormat="1" ht="12.75">
      <c r="A383" s="43">
        <v>382</v>
      </c>
      <c r="B383" s="44">
        <f>IF($D382&gt;0,IF($A383&gt;$G$2,$D382*Parameter!$B$8/Parameter!$B$3,$D382*Parameter!$B$2/Parameter!$B$3),0)</f>
        <v>0</v>
      </c>
      <c r="C383" s="44">
        <f>IF($A382&gt;=$G$3,MIN(IF(AND($A383&gt;$G$2,Parameter!$E$9),Parameter!$E$7-Zahlungsplan!$B383,Parameter!$B$5-$B383),$D382),0)</f>
        <v>0</v>
      </c>
      <c r="D383" s="44">
        <f t="shared" si="11"/>
        <v>0</v>
      </c>
      <c r="E383" s="45">
        <f t="shared" si="10"/>
        <v>0</v>
      </c>
      <c r="F383" s="59">
        <f>IF($E383&gt;0,IF(Parameter!$B$10="vorschüssig",_XLL.EDATUM(Parameter!$B$9,(A383-1)*12/Parameter!$B$3),_XLL.EDATUM(Parameter!$B$9,A383*12/Parameter!$B$3)),"")</f>
      </c>
      <c r="H383" s="47"/>
    </row>
    <row r="384" spans="1:8" s="46" customFormat="1" ht="12.75">
      <c r="A384" s="43">
        <v>383</v>
      </c>
      <c r="B384" s="44">
        <f>IF($D383&gt;0,IF($A384&gt;$G$2,$D383*Parameter!$B$8/Parameter!$B$3,$D383*Parameter!$B$2/Parameter!$B$3),0)</f>
        <v>0</v>
      </c>
      <c r="C384" s="44">
        <f>IF($A383&gt;=$G$3,MIN(IF(AND($A384&gt;$G$2,Parameter!$E$9),Parameter!$E$7-Zahlungsplan!$B384,Parameter!$B$5-$B384),$D383),0)</f>
        <v>0</v>
      </c>
      <c r="D384" s="44">
        <f t="shared" si="11"/>
        <v>0</v>
      </c>
      <c r="E384" s="45">
        <f t="shared" si="10"/>
        <v>0</v>
      </c>
      <c r="F384" s="59">
        <f>IF($E384&gt;0,IF(Parameter!$B$10="vorschüssig",_XLL.EDATUM(Parameter!$B$9,(A384-1)*12/Parameter!$B$3),_XLL.EDATUM(Parameter!$B$9,A384*12/Parameter!$B$3)),"")</f>
      </c>
      <c r="H384" s="47"/>
    </row>
    <row r="385" spans="1:8" s="46" customFormat="1" ht="12.75">
      <c r="A385" s="43">
        <v>384</v>
      </c>
      <c r="B385" s="44">
        <f>IF($D384&gt;0,IF($A385&gt;$G$2,$D384*Parameter!$B$8/Parameter!$B$3,$D384*Parameter!$B$2/Parameter!$B$3),0)</f>
        <v>0</v>
      </c>
      <c r="C385" s="44">
        <f>IF($A384&gt;=$G$3,MIN(IF(AND($A385&gt;$G$2,Parameter!$E$9),Parameter!$E$7-Zahlungsplan!$B385,Parameter!$B$5-$B385),$D384),0)</f>
        <v>0</v>
      </c>
      <c r="D385" s="44">
        <f t="shared" si="11"/>
        <v>0</v>
      </c>
      <c r="E385" s="45">
        <f t="shared" si="10"/>
        <v>0</v>
      </c>
      <c r="F385" s="59">
        <f>IF($E385&gt;0,IF(Parameter!$B$10="vorschüssig",_XLL.EDATUM(Parameter!$B$9,(A385-1)*12/Parameter!$B$3),_XLL.EDATUM(Parameter!$B$9,A385*12/Parameter!$B$3)),"")</f>
      </c>
      <c r="H385" s="47"/>
    </row>
    <row r="386" spans="1:8" s="46" customFormat="1" ht="12.75">
      <c r="A386" s="43">
        <v>385</v>
      </c>
      <c r="B386" s="44">
        <f>IF($D385&gt;0,IF($A386&gt;$G$2,$D385*Parameter!$B$8/Parameter!$B$3,$D385*Parameter!$B$2/Parameter!$B$3),0)</f>
        <v>0</v>
      </c>
      <c r="C386" s="44">
        <f>IF($A385&gt;=$G$3,MIN(IF(AND($A386&gt;$G$2,Parameter!$E$9),Parameter!$E$7-Zahlungsplan!$B386,Parameter!$B$5-$B386),$D385),0)</f>
        <v>0</v>
      </c>
      <c r="D386" s="44">
        <f t="shared" si="11"/>
        <v>0</v>
      </c>
      <c r="E386" s="45">
        <f t="shared" si="10"/>
        <v>0</v>
      </c>
      <c r="F386" s="59">
        <f>IF($E386&gt;0,IF(Parameter!$B$10="vorschüssig",_XLL.EDATUM(Parameter!$B$9,(A386-1)*12/Parameter!$B$3),_XLL.EDATUM(Parameter!$B$9,A386*12/Parameter!$B$3)),"")</f>
      </c>
      <c r="H386" s="47"/>
    </row>
    <row r="387" spans="1:8" s="46" customFormat="1" ht="12.75">
      <c r="A387" s="43">
        <v>386</v>
      </c>
      <c r="B387" s="44">
        <f>IF($D386&gt;0,IF($A387&gt;$G$2,$D386*Parameter!$B$8/Parameter!$B$3,$D386*Parameter!$B$2/Parameter!$B$3),0)</f>
        <v>0</v>
      </c>
      <c r="C387" s="44">
        <f>IF($A386&gt;=$G$3,MIN(IF(AND($A387&gt;$G$2,Parameter!$E$9),Parameter!$E$7-Zahlungsplan!$B387,Parameter!$B$5-$B387),$D386),0)</f>
        <v>0</v>
      </c>
      <c r="D387" s="44">
        <f t="shared" si="11"/>
        <v>0</v>
      </c>
      <c r="E387" s="45">
        <f aca="true" t="shared" si="12" ref="E387:E450">$B387+$C387</f>
        <v>0</v>
      </c>
      <c r="F387" s="59">
        <f>IF($E387&gt;0,IF(Parameter!$B$10="vorschüssig",_XLL.EDATUM(Parameter!$B$9,(A387-1)*12/Parameter!$B$3),_XLL.EDATUM(Parameter!$B$9,A387*12/Parameter!$B$3)),"")</f>
      </c>
      <c r="H387" s="47"/>
    </row>
    <row r="388" spans="1:8" s="46" customFormat="1" ht="12.75">
      <c r="A388" s="43">
        <v>387</v>
      </c>
      <c r="B388" s="44">
        <f>IF($D387&gt;0,IF($A388&gt;$G$2,$D387*Parameter!$B$8/Parameter!$B$3,$D387*Parameter!$B$2/Parameter!$B$3),0)</f>
        <v>0</v>
      </c>
      <c r="C388" s="44">
        <f>IF($A387&gt;=$G$3,MIN(IF(AND($A388&gt;$G$2,Parameter!$E$9),Parameter!$E$7-Zahlungsplan!$B388,Parameter!$B$5-$B388),$D387),0)</f>
        <v>0</v>
      </c>
      <c r="D388" s="44">
        <f aca="true" t="shared" si="13" ref="D388:D451">$D387-$C388</f>
        <v>0</v>
      </c>
      <c r="E388" s="45">
        <f t="shared" si="12"/>
        <v>0</v>
      </c>
      <c r="F388" s="59">
        <f>IF($E388&gt;0,IF(Parameter!$B$10="vorschüssig",_XLL.EDATUM(Parameter!$B$9,(A388-1)*12/Parameter!$B$3),_XLL.EDATUM(Parameter!$B$9,A388*12/Parameter!$B$3)),"")</f>
      </c>
      <c r="H388" s="47"/>
    </row>
    <row r="389" spans="1:8" s="46" customFormat="1" ht="12.75">
      <c r="A389" s="43">
        <v>388</v>
      </c>
      <c r="B389" s="44">
        <f>IF($D388&gt;0,IF($A389&gt;$G$2,$D388*Parameter!$B$8/Parameter!$B$3,$D388*Parameter!$B$2/Parameter!$B$3),0)</f>
        <v>0</v>
      </c>
      <c r="C389" s="44">
        <f>IF($A388&gt;=$G$3,MIN(IF(AND($A389&gt;$G$2,Parameter!$E$9),Parameter!$E$7-Zahlungsplan!$B389,Parameter!$B$5-$B389),$D388),0)</f>
        <v>0</v>
      </c>
      <c r="D389" s="44">
        <f t="shared" si="13"/>
        <v>0</v>
      </c>
      <c r="E389" s="45">
        <f t="shared" si="12"/>
        <v>0</v>
      </c>
      <c r="F389" s="59">
        <f>IF($E389&gt;0,IF(Parameter!$B$10="vorschüssig",_XLL.EDATUM(Parameter!$B$9,(A389-1)*12/Parameter!$B$3),_XLL.EDATUM(Parameter!$B$9,A389*12/Parameter!$B$3)),"")</f>
      </c>
      <c r="H389" s="47"/>
    </row>
    <row r="390" spans="1:8" s="46" customFormat="1" ht="12.75">
      <c r="A390" s="43">
        <v>389</v>
      </c>
      <c r="B390" s="44">
        <f>IF($D389&gt;0,IF($A390&gt;$G$2,$D389*Parameter!$B$8/Parameter!$B$3,$D389*Parameter!$B$2/Parameter!$B$3),0)</f>
        <v>0</v>
      </c>
      <c r="C390" s="44">
        <f>IF($A389&gt;=$G$3,MIN(IF(AND($A390&gt;$G$2,Parameter!$E$9),Parameter!$E$7-Zahlungsplan!$B390,Parameter!$B$5-$B390),$D389),0)</f>
        <v>0</v>
      </c>
      <c r="D390" s="44">
        <f t="shared" si="13"/>
        <v>0</v>
      </c>
      <c r="E390" s="45">
        <f t="shared" si="12"/>
        <v>0</v>
      </c>
      <c r="F390" s="59">
        <f>IF($E390&gt;0,IF(Parameter!$B$10="vorschüssig",_XLL.EDATUM(Parameter!$B$9,(A390-1)*12/Parameter!$B$3),_XLL.EDATUM(Parameter!$B$9,A390*12/Parameter!$B$3)),"")</f>
      </c>
      <c r="H390" s="47"/>
    </row>
    <row r="391" spans="1:8" s="46" customFormat="1" ht="12.75">
      <c r="A391" s="43">
        <v>390</v>
      </c>
      <c r="B391" s="44">
        <f>IF($D390&gt;0,IF($A391&gt;$G$2,$D390*Parameter!$B$8/Parameter!$B$3,$D390*Parameter!$B$2/Parameter!$B$3),0)</f>
        <v>0</v>
      </c>
      <c r="C391" s="44">
        <f>IF($A390&gt;=$G$3,MIN(IF(AND($A391&gt;$G$2,Parameter!$E$9),Parameter!$E$7-Zahlungsplan!$B391,Parameter!$B$5-$B391),$D390),0)</f>
        <v>0</v>
      </c>
      <c r="D391" s="44">
        <f t="shared" si="13"/>
        <v>0</v>
      </c>
      <c r="E391" s="45">
        <f t="shared" si="12"/>
        <v>0</v>
      </c>
      <c r="F391" s="59">
        <f>IF($E391&gt;0,IF(Parameter!$B$10="vorschüssig",_XLL.EDATUM(Parameter!$B$9,(A391-1)*12/Parameter!$B$3),_XLL.EDATUM(Parameter!$B$9,A391*12/Parameter!$B$3)),"")</f>
      </c>
      <c r="H391" s="47"/>
    </row>
    <row r="392" spans="1:8" s="46" customFormat="1" ht="12.75">
      <c r="A392" s="43">
        <v>391</v>
      </c>
      <c r="B392" s="44">
        <f>IF($D391&gt;0,IF($A392&gt;$G$2,$D391*Parameter!$B$8/Parameter!$B$3,$D391*Parameter!$B$2/Parameter!$B$3),0)</f>
        <v>0</v>
      </c>
      <c r="C392" s="44">
        <f>IF($A391&gt;=$G$3,MIN(IF(AND($A392&gt;$G$2,Parameter!$E$9),Parameter!$E$7-Zahlungsplan!$B392,Parameter!$B$5-$B392),$D391),0)</f>
        <v>0</v>
      </c>
      <c r="D392" s="44">
        <f t="shared" si="13"/>
        <v>0</v>
      </c>
      <c r="E392" s="45">
        <f t="shared" si="12"/>
        <v>0</v>
      </c>
      <c r="F392" s="59">
        <f>IF($E392&gt;0,IF(Parameter!$B$10="vorschüssig",_XLL.EDATUM(Parameter!$B$9,(A392-1)*12/Parameter!$B$3),_XLL.EDATUM(Parameter!$B$9,A392*12/Parameter!$B$3)),"")</f>
      </c>
      <c r="H392" s="47"/>
    </row>
    <row r="393" spans="1:8" s="46" customFormat="1" ht="12.75">
      <c r="A393" s="43">
        <v>392</v>
      </c>
      <c r="B393" s="44">
        <f>IF($D392&gt;0,IF($A393&gt;$G$2,$D392*Parameter!$B$8/Parameter!$B$3,$D392*Parameter!$B$2/Parameter!$B$3),0)</f>
        <v>0</v>
      </c>
      <c r="C393" s="44">
        <f>IF($A392&gt;=$G$3,MIN(IF(AND($A393&gt;$G$2,Parameter!$E$9),Parameter!$E$7-Zahlungsplan!$B393,Parameter!$B$5-$B393),$D392),0)</f>
        <v>0</v>
      </c>
      <c r="D393" s="44">
        <f t="shared" si="13"/>
        <v>0</v>
      </c>
      <c r="E393" s="45">
        <f t="shared" si="12"/>
        <v>0</v>
      </c>
      <c r="F393" s="59">
        <f>IF($E393&gt;0,IF(Parameter!$B$10="vorschüssig",_XLL.EDATUM(Parameter!$B$9,(A393-1)*12/Parameter!$B$3),_XLL.EDATUM(Parameter!$B$9,A393*12/Parameter!$B$3)),"")</f>
      </c>
      <c r="H393" s="47"/>
    </row>
    <row r="394" spans="1:8" s="46" customFormat="1" ht="12.75">
      <c r="A394" s="43">
        <v>393</v>
      </c>
      <c r="B394" s="44">
        <f>IF($D393&gt;0,IF($A394&gt;$G$2,$D393*Parameter!$B$8/Parameter!$B$3,$D393*Parameter!$B$2/Parameter!$B$3),0)</f>
        <v>0</v>
      </c>
      <c r="C394" s="44">
        <f>IF($A393&gt;=$G$3,MIN(IF(AND($A394&gt;$G$2,Parameter!$E$9),Parameter!$E$7-Zahlungsplan!$B394,Parameter!$B$5-$B394),$D393),0)</f>
        <v>0</v>
      </c>
      <c r="D394" s="44">
        <f t="shared" si="13"/>
        <v>0</v>
      </c>
      <c r="E394" s="45">
        <f t="shared" si="12"/>
        <v>0</v>
      </c>
      <c r="F394" s="59">
        <f>IF($E394&gt;0,IF(Parameter!$B$10="vorschüssig",_XLL.EDATUM(Parameter!$B$9,(A394-1)*12/Parameter!$B$3),_XLL.EDATUM(Parameter!$B$9,A394*12/Parameter!$B$3)),"")</f>
      </c>
      <c r="H394" s="47"/>
    </row>
    <row r="395" spans="1:8" s="46" customFormat="1" ht="12.75">
      <c r="A395" s="43">
        <v>394</v>
      </c>
      <c r="B395" s="44">
        <f>IF($D394&gt;0,IF($A395&gt;$G$2,$D394*Parameter!$B$8/Parameter!$B$3,$D394*Parameter!$B$2/Parameter!$B$3),0)</f>
        <v>0</v>
      </c>
      <c r="C395" s="44">
        <f>IF($A394&gt;=$G$3,MIN(IF(AND($A395&gt;$G$2,Parameter!$E$9),Parameter!$E$7-Zahlungsplan!$B395,Parameter!$B$5-$B395),$D394),0)</f>
        <v>0</v>
      </c>
      <c r="D395" s="44">
        <f t="shared" si="13"/>
        <v>0</v>
      </c>
      <c r="E395" s="45">
        <f t="shared" si="12"/>
        <v>0</v>
      </c>
      <c r="F395" s="59">
        <f>IF($E395&gt;0,IF(Parameter!$B$10="vorschüssig",_XLL.EDATUM(Parameter!$B$9,(A395-1)*12/Parameter!$B$3),_XLL.EDATUM(Parameter!$B$9,A395*12/Parameter!$B$3)),"")</f>
      </c>
      <c r="H395" s="47"/>
    </row>
    <row r="396" spans="1:8" s="46" customFormat="1" ht="12.75">
      <c r="A396" s="43">
        <v>395</v>
      </c>
      <c r="B396" s="44">
        <f>IF($D395&gt;0,IF($A396&gt;$G$2,$D395*Parameter!$B$8/Parameter!$B$3,$D395*Parameter!$B$2/Parameter!$B$3),0)</f>
        <v>0</v>
      </c>
      <c r="C396" s="44">
        <f>IF($A395&gt;=$G$3,MIN(IF(AND($A396&gt;$G$2,Parameter!$E$9),Parameter!$E$7-Zahlungsplan!$B396,Parameter!$B$5-$B396),$D395),0)</f>
        <v>0</v>
      </c>
      <c r="D396" s="44">
        <f t="shared" si="13"/>
        <v>0</v>
      </c>
      <c r="E396" s="45">
        <f t="shared" si="12"/>
        <v>0</v>
      </c>
      <c r="F396" s="59">
        <f>IF($E396&gt;0,IF(Parameter!$B$10="vorschüssig",_XLL.EDATUM(Parameter!$B$9,(A396-1)*12/Parameter!$B$3),_XLL.EDATUM(Parameter!$B$9,A396*12/Parameter!$B$3)),"")</f>
      </c>
      <c r="H396" s="47"/>
    </row>
    <row r="397" spans="1:8" s="46" customFormat="1" ht="12.75">
      <c r="A397" s="43">
        <v>396</v>
      </c>
      <c r="B397" s="44">
        <f>IF($D396&gt;0,IF($A397&gt;$G$2,$D396*Parameter!$B$8/Parameter!$B$3,$D396*Parameter!$B$2/Parameter!$B$3),0)</f>
        <v>0</v>
      </c>
      <c r="C397" s="44">
        <f>IF($A396&gt;=$G$3,MIN(IF(AND($A397&gt;$G$2,Parameter!$E$9),Parameter!$E$7-Zahlungsplan!$B397,Parameter!$B$5-$B397),$D396),0)</f>
        <v>0</v>
      </c>
      <c r="D397" s="44">
        <f t="shared" si="13"/>
        <v>0</v>
      </c>
      <c r="E397" s="45">
        <f t="shared" si="12"/>
        <v>0</v>
      </c>
      <c r="F397" s="59">
        <f>IF($E397&gt;0,IF(Parameter!$B$10="vorschüssig",_XLL.EDATUM(Parameter!$B$9,(A397-1)*12/Parameter!$B$3),_XLL.EDATUM(Parameter!$B$9,A397*12/Parameter!$B$3)),"")</f>
      </c>
      <c r="H397" s="47"/>
    </row>
    <row r="398" spans="1:8" s="46" customFormat="1" ht="12.75">
      <c r="A398" s="43">
        <v>397</v>
      </c>
      <c r="B398" s="44">
        <f>IF($D397&gt;0,IF($A398&gt;$G$2,$D397*Parameter!$B$8/Parameter!$B$3,$D397*Parameter!$B$2/Parameter!$B$3),0)</f>
        <v>0</v>
      </c>
      <c r="C398" s="44">
        <f>IF($A397&gt;=$G$3,MIN(IF(AND($A398&gt;$G$2,Parameter!$E$9),Parameter!$E$7-Zahlungsplan!$B398,Parameter!$B$5-$B398),$D397),0)</f>
        <v>0</v>
      </c>
      <c r="D398" s="44">
        <f t="shared" si="13"/>
        <v>0</v>
      </c>
      <c r="E398" s="45">
        <f t="shared" si="12"/>
        <v>0</v>
      </c>
      <c r="F398" s="59">
        <f>IF($E398&gt;0,IF(Parameter!$B$10="vorschüssig",_XLL.EDATUM(Parameter!$B$9,(A398-1)*12/Parameter!$B$3),_XLL.EDATUM(Parameter!$B$9,A398*12/Parameter!$B$3)),"")</f>
      </c>
      <c r="H398" s="47"/>
    </row>
    <row r="399" spans="1:8" s="46" customFormat="1" ht="12.75">
      <c r="A399" s="43">
        <v>398</v>
      </c>
      <c r="B399" s="44">
        <f>IF($D398&gt;0,IF($A399&gt;$G$2,$D398*Parameter!$B$8/Parameter!$B$3,$D398*Parameter!$B$2/Parameter!$B$3),0)</f>
        <v>0</v>
      </c>
      <c r="C399" s="44">
        <f>IF($A398&gt;=$G$3,MIN(IF(AND($A399&gt;$G$2,Parameter!$E$9),Parameter!$E$7-Zahlungsplan!$B399,Parameter!$B$5-$B399),$D398),0)</f>
        <v>0</v>
      </c>
      <c r="D399" s="44">
        <f t="shared" si="13"/>
        <v>0</v>
      </c>
      <c r="E399" s="45">
        <f t="shared" si="12"/>
        <v>0</v>
      </c>
      <c r="F399" s="59">
        <f>IF($E399&gt;0,IF(Parameter!$B$10="vorschüssig",_XLL.EDATUM(Parameter!$B$9,(A399-1)*12/Parameter!$B$3),_XLL.EDATUM(Parameter!$B$9,A399*12/Parameter!$B$3)),"")</f>
      </c>
      <c r="H399" s="47"/>
    </row>
    <row r="400" spans="1:8" s="46" customFormat="1" ht="12.75">
      <c r="A400" s="43">
        <v>399</v>
      </c>
      <c r="B400" s="44">
        <f>IF($D399&gt;0,IF($A400&gt;$G$2,$D399*Parameter!$B$8/Parameter!$B$3,$D399*Parameter!$B$2/Parameter!$B$3),0)</f>
        <v>0</v>
      </c>
      <c r="C400" s="44">
        <f>IF($A399&gt;=$G$3,MIN(IF(AND($A400&gt;$G$2,Parameter!$E$9),Parameter!$E$7-Zahlungsplan!$B400,Parameter!$B$5-$B400),$D399),0)</f>
        <v>0</v>
      </c>
      <c r="D400" s="44">
        <f t="shared" si="13"/>
        <v>0</v>
      </c>
      <c r="E400" s="45">
        <f t="shared" si="12"/>
        <v>0</v>
      </c>
      <c r="F400" s="59">
        <f>IF($E400&gt;0,IF(Parameter!$B$10="vorschüssig",_XLL.EDATUM(Parameter!$B$9,(A400-1)*12/Parameter!$B$3),_XLL.EDATUM(Parameter!$B$9,A400*12/Parameter!$B$3)),"")</f>
      </c>
      <c r="H400" s="47"/>
    </row>
    <row r="401" spans="1:8" s="46" customFormat="1" ht="12.75">
      <c r="A401" s="43">
        <v>400</v>
      </c>
      <c r="B401" s="44">
        <f>IF($D400&gt;0,IF($A401&gt;$G$2,$D400*Parameter!$B$8/Parameter!$B$3,$D400*Parameter!$B$2/Parameter!$B$3),0)</f>
        <v>0</v>
      </c>
      <c r="C401" s="44">
        <f>IF($A400&gt;=$G$3,MIN(IF(AND($A401&gt;$G$2,Parameter!$E$9),Parameter!$E$7-Zahlungsplan!$B401,Parameter!$B$5-$B401),$D400),0)</f>
        <v>0</v>
      </c>
      <c r="D401" s="44">
        <f t="shared" si="13"/>
        <v>0</v>
      </c>
      <c r="E401" s="45">
        <f t="shared" si="12"/>
        <v>0</v>
      </c>
      <c r="F401" s="59">
        <f>IF($E401&gt;0,IF(Parameter!$B$10="vorschüssig",_XLL.EDATUM(Parameter!$B$9,(A401-1)*12/Parameter!$B$3),_XLL.EDATUM(Parameter!$B$9,A401*12/Parameter!$B$3)),"")</f>
      </c>
      <c r="H401" s="47"/>
    </row>
    <row r="402" spans="1:8" s="46" customFormat="1" ht="12.75">
      <c r="A402" s="43">
        <v>401</v>
      </c>
      <c r="B402" s="44">
        <f>IF($D401&gt;0,IF($A402&gt;$G$2,$D401*Parameter!$B$8/Parameter!$B$3,$D401*Parameter!$B$2/Parameter!$B$3),0)</f>
        <v>0</v>
      </c>
      <c r="C402" s="44">
        <f>IF($A401&gt;=$G$3,MIN(IF(AND($A402&gt;$G$2,Parameter!$E$9),Parameter!$E$7-Zahlungsplan!$B402,Parameter!$B$5-$B402),$D401),0)</f>
        <v>0</v>
      </c>
      <c r="D402" s="44">
        <f t="shared" si="13"/>
        <v>0</v>
      </c>
      <c r="E402" s="45">
        <f t="shared" si="12"/>
        <v>0</v>
      </c>
      <c r="F402" s="59">
        <f>IF($E402&gt;0,IF(Parameter!$B$10="vorschüssig",_XLL.EDATUM(Parameter!$B$9,(A402-1)*12/Parameter!$B$3),_XLL.EDATUM(Parameter!$B$9,A402*12/Parameter!$B$3)),"")</f>
      </c>
      <c r="H402" s="47"/>
    </row>
    <row r="403" spans="1:8" s="46" customFormat="1" ht="12.75">
      <c r="A403" s="43">
        <v>402</v>
      </c>
      <c r="B403" s="44">
        <f>IF($D402&gt;0,IF($A403&gt;$G$2,$D402*Parameter!$B$8/Parameter!$B$3,$D402*Parameter!$B$2/Parameter!$B$3),0)</f>
        <v>0</v>
      </c>
      <c r="C403" s="44">
        <f>IF($A402&gt;=$G$3,MIN(IF(AND($A403&gt;$G$2,Parameter!$E$9),Parameter!$E$7-Zahlungsplan!$B403,Parameter!$B$5-$B403),$D402),0)</f>
        <v>0</v>
      </c>
      <c r="D403" s="44">
        <f t="shared" si="13"/>
        <v>0</v>
      </c>
      <c r="E403" s="45">
        <f t="shared" si="12"/>
        <v>0</v>
      </c>
      <c r="F403" s="59">
        <f>IF($E403&gt;0,IF(Parameter!$B$10="vorschüssig",_XLL.EDATUM(Parameter!$B$9,(A403-1)*12/Parameter!$B$3),_XLL.EDATUM(Parameter!$B$9,A403*12/Parameter!$B$3)),"")</f>
      </c>
      <c r="H403" s="47"/>
    </row>
    <row r="404" spans="1:8" s="46" customFormat="1" ht="12.75">
      <c r="A404" s="43">
        <v>403</v>
      </c>
      <c r="B404" s="44">
        <f>IF($D403&gt;0,IF($A404&gt;$G$2,$D403*Parameter!$B$8/Parameter!$B$3,$D403*Parameter!$B$2/Parameter!$B$3),0)</f>
        <v>0</v>
      </c>
      <c r="C404" s="44">
        <f>IF($A403&gt;=$G$3,MIN(IF(AND($A404&gt;$G$2,Parameter!$E$9),Parameter!$E$7-Zahlungsplan!$B404,Parameter!$B$5-$B404),$D403),0)</f>
        <v>0</v>
      </c>
      <c r="D404" s="44">
        <f t="shared" si="13"/>
        <v>0</v>
      </c>
      <c r="E404" s="45">
        <f t="shared" si="12"/>
        <v>0</v>
      </c>
      <c r="F404" s="59">
        <f>IF($E404&gt;0,IF(Parameter!$B$10="vorschüssig",_XLL.EDATUM(Parameter!$B$9,(A404-1)*12/Parameter!$B$3),_XLL.EDATUM(Parameter!$B$9,A404*12/Parameter!$B$3)),"")</f>
      </c>
      <c r="H404" s="47"/>
    </row>
    <row r="405" spans="1:8" s="46" customFormat="1" ht="12.75">
      <c r="A405" s="43">
        <v>404</v>
      </c>
      <c r="B405" s="44">
        <f>IF($D404&gt;0,IF($A405&gt;$G$2,$D404*Parameter!$B$8/Parameter!$B$3,$D404*Parameter!$B$2/Parameter!$B$3),0)</f>
        <v>0</v>
      </c>
      <c r="C405" s="44">
        <f>IF($A404&gt;=$G$3,MIN(IF(AND($A405&gt;$G$2,Parameter!$E$9),Parameter!$E$7-Zahlungsplan!$B405,Parameter!$B$5-$B405),$D404),0)</f>
        <v>0</v>
      </c>
      <c r="D405" s="44">
        <f t="shared" si="13"/>
        <v>0</v>
      </c>
      <c r="E405" s="45">
        <f t="shared" si="12"/>
        <v>0</v>
      </c>
      <c r="F405" s="59">
        <f>IF($E405&gt;0,IF(Parameter!$B$10="vorschüssig",_XLL.EDATUM(Parameter!$B$9,(A405-1)*12/Parameter!$B$3),_XLL.EDATUM(Parameter!$B$9,A405*12/Parameter!$B$3)),"")</f>
      </c>
      <c r="H405" s="47"/>
    </row>
    <row r="406" spans="1:8" s="46" customFormat="1" ht="12.75">
      <c r="A406" s="43">
        <v>405</v>
      </c>
      <c r="B406" s="44">
        <f>IF($D405&gt;0,IF($A406&gt;$G$2,$D405*Parameter!$B$8/Parameter!$B$3,$D405*Parameter!$B$2/Parameter!$B$3),0)</f>
        <v>0</v>
      </c>
      <c r="C406" s="44">
        <f>IF($A405&gt;=$G$3,MIN(IF(AND($A406&gt;$G$2,Parameter!$E$9),Parameter!$E$7-Zahlungsplan!$B406,Parameter!$B$5-$B406),$D405),0)</f>
        <v>0</v>
      </c>
      <c r="D406" s="44">
        <f t="shared" si="13"/>
        <v>0</v>
      </c>
      <c r="E406" s="45">
        <f t="shared" si="12"/>
        <v>0</v>
      </c>
      <c r="F406" s="59">
        <f>IF($E406&gt;0,IF(Parameter!$B$10="vorschüssig",_XLL.EDATUM(Parameter!$B$9,(A406-1)*12/Parameter!$B$3),_XLL.EDATUM(Parameter!$B$9,A406*12/Parameter!$B$3)),"")</f>
      </c>
      <c r="H406" s="47"/>
    </row>
    <row r="407" spans="1:8" s="46" customFormat="1" ht="12.75">
      <c r="A407" s="43">
        <v>406</v>
      </c>
      <c r="B407" s="44">
        <f>IF($D406&gt;0,IF($A407&gt;$G$2,$D406*Parameter!$B$8/Parameter!$B$3,$D406*Parameter!$B$2/Parameter!$B$3),0)</f>
        <v>0</v>
      </c>
      <c r="C407" s="44">
        <f>IF($A406&gt;=$G$3,MIN(IF(AND($A407&gt;$G$2,Parameter!$E$9),Parameter!$E$7-Zahlungsplan!$B407,Parameter!$B$5-$B407),$D406),0)</f>
        <v>0</v>
      </c>
      <c r="D407" s="44">
        <f t="shared" si="13"/>
        <v>0</v>
      </c>
      <c r="E407" s="45">
        <f t="shared" si="12"/>
        <v>0</v>
      </c>
      <c r="F407" s="59">
        <f>IF($E407&gt;0,IF(Parameter!$B$10="vorschüssig",_XLL.EDATUM(Parameter!$B$9,(A407-1)*12/Parameter!$B$3),_XLL.EDATUM(Parameter!$B$9,A407*12/Parameter!$B$3)),"")</f>
      </c>
      <c r="H407" s="47"/>
    </row>
    <row r="408" spans="1:8" s="46" customFormat="1" ht="12.75">
      <c r="A408" s="43">
        <v>407</v>
      </c>
      <c r="B408" s="44">
        <f>IF($D407&gt;0,IF($A408&gt;$G$2,$D407*Parameter!$B$8/Parameter!$B$3,$D407*Parameter!$B$2/Parameter!$B$3),0)</f>
        <v>0</v>
      </c>
      <c r="C408" s="44">
        <f>IF($A407&gt;=$G$3,MIN(IF(AND($A408&gt;$G$2,Parameter!$E$9),Parameter!$E$7-Zahlungsplan!$B408,Parameter!$B$5-$B408),$D407),0)</f>
        <v>0</v>
      </c>
      <c r="D408" s="44">
        <f t="shared" si="13"/>
        <v>0</v>
      </c>
      <c r="E408" s="45">
        <f t="shared" si="12"/>
        <v>0</v>
      </c>
      <c r="F408" s="59">
        <f>IF($E408&gt;0,IF(Parameter!$B$10="vorschüssig",_XLL.EDATUM(Parameter!$B$9,(A408-1)*12/Parameter!$B$3),_XLL.EDATUM(Parameter!$B$9,A408*12/Parameter!$B$3)),"")</f>
      </c>
      <c r="H408" s="47"/>
    </row>
    <row r="409" spans="1:8" s="46" customFormat="1" ht="12.75">
      <c r="A409" s="43">
        <v>408</v>
      </c>
      <c r="B409" s="44">
        <f>IF($D408&gt;0,IF($A409&gt;$G$2,$D408*Parameter!$B$8/Parameter!$B$3,$D408*Parameter!$B$2/Parameter!$B$3),0)</f>
        <v>0</v>
      </c>
      <c r="C409" s="44">
        <f>IF($A408&gt;=$G$3,MIN(IF(AND($A409&gt;$G$2,Parameter!$E$9),Parameter!$E$7-Zahlungsplan!$B409,Parameter!$B$5-$B409),$D408),0)</f>
        <v>0</v>
      </c>
      <c r="D409" s="44">
        <f t="shared" si="13"/>
        <v>0</v>
      </c>
      <c r="E409" s="45">
        <f t="shared" si="12"/>
        <v>0</v>
      </c>
      <c r="F409" s="59">
        <f>IF($E409&gt;0,IF(Parameter!$B$10="vorschüssig",_XLL.EDATUM(Parameter!$B$9,(A409-1)*12/Parameter!$B$3),_XLL.EDATUM(Parameter!$B$9,A409*12/Parameter!$B$3)),"")</f>
      </c>
      <c r="H409" s="47"/>
    </row>
    <row r="410" spans="1:8" s="46" customFormat="1" ht="12.75">
      <c r="A410" s="43">
        <v>409</v>
      </c>
      <c r="B410" s="44">
        <f>IF($D409&gt;0,IF($A410&gt;$G$2,$D409*Parameter!$B$8/Parameter!$B$3,$D409*Parameter!$B$2/Parameter!$B$3),0)</f>
        <v>0</v>
      </c>
      <c r="C410" s="44">
        <f>IF($A409&gt;=$G$3,MIN(IF(AND($A410&gt;$G$2,Parameter!$E$9),Parameter!$E$7-Zahlungsplan!$B410,Parameter!$B$5-$B410),$D409),0)</f>
        <v>0</v>
      </c>
      <c r="D410" s="44">
        <f t="shared" si="13"/>
        <v>0</v>
      </c>
      <c r="E410" s="45">
        <f t="shared" si="12"/>
        <v>0</v>
      </c>
      <c r="F410" s="59">
        <f>IF($E410&gt;0,IF(Parameter!$B$10="vorschüssig",_XLL.EDATUM(Parameter!$B$9,(A410-1)*12/Parameter!$B$3),_XLL.EDATUM(Parameter!$B$9,A410*12/Parameter!$B$3)),"")</f>
      </c>
      <c r="H410" s="47"/>
    </row>
    <row r="411" spans="1:8" s="46" customFormat="1" ht="12.75">
      <c r="A411" s="43">
        <v>410</v>
      </c>
      <c r="B411" s="44">
        <f>IF($D410&gt;0,IF($A411&gt;$G$2,$D410*Parameter!$B$8/Parameter!$B$3,$D410*Parameter!$B$2/Parameter!$B$3),0)</f>
        <v>0</v>
      </c>
      <c r="C411" s="44">
        <f>IF($A410&gt;=$G$3,MIN(IF(AND($A411&gt;$G$2,Parameter!$E$9),Parameter!$E$7-Zahlungsplan!$B411,Parameter!$B$5-$B411),$D410),0)</f>
        <v>0</v>
      </c>
      <c r="D411" s="44">
        <f t="shared" si="13"/>
        <v>0</v>
      </c>
      <c r="E411" s="45">
        <f t="shared" si="12"/>
        <v>0</v>
      </c>
      <c r="F411" s="59">
        <f>IF($E411&gt;0,IF(Parameter!$B$10="vorschüssig",_XLL.EDATUM(Parameter!$B$9,(A411-1)*12/Parameter!$B$3),_XLL.EDATUM(Parameter!$B$9,A411*12/Parameter!$B$3)),"")</f>
      </c>
      <c r="H411" s="47"/>
    </row>
    <row r="412" spans="1:8" s="46" customFormat="1" ht="12.75">
      <c r="A412" s="43">
        <v>411</v>
      </c>
      <c r="B412" s="44">
        <f>IF($D411&gt;0,IF($A412&gt;$G$2,$D411*Parameter!$B$8/Parameter!$B$3,$D411*Parameter!$B$2/Parameter!$B$3),0)</f>
        <v>0</v>
      </c>
      <c r="C412" s="44">
        <f>IF($A411&gt;=$G$3,MIN(IF(AND($A412&gt;$G$2,Parameter!$E$9),Parameter!$E$7-Zahlungsplan!$B412,Parameter!$B$5-$B412),$D411),0)</f>
        <v>0</v>
      </c>
      <c r="D412" s="44">
        <f t="shared" si="13"/>
        <v>0</v>
      </c>
      <c r="E412" s="45">
        <f t="shared" si="12"/>
        <v>0</v>
      </c>
      <c r="F412" s="59">
        <f>IF($E412&gt;0,IF(Parameter!$B$10="vorschüssig",_XLL.EDATUM(Parameter!$B$9,(A412-1)*12/Parameter!$B$3),_XLL.EDATUM(Parameter!$B$9,A412*12/Parameter!$B$3)),"")</f>
      </c>
      <c r="H412" s="47"/>
    </row>
    <row r="413" spans="1:8" s="46" customFormat="1" ht="12.75">
      <c r="A413" s="43">
        <v>412</v>
      </c>
      <c r="B413" s="44">
        <f>IF($D412&gt;0,IF($A413&gt;$G$2,$D412*Parameter!$B$8/Parameter!$B$3,$D412*Parameter!$B$2/Parameter!$B$3),0)</f>
        <v>0</v>
      </c>
      <c r="C413" s="44">
        <f>IF($A412&gt;=$G$3,MIN(IF(AND($A413&gt;$G$2,Parameter!$E$9),Parameter!$E$7-Zahlungsplan!$B413,Parameter!$B$5-$B413),$D412),0)</f>
        <v>0</v>
      </c>
      <c r="D413" s="44">
        <f t="shared" si="13"/>
        <v>0</v>
      </c>
      <c r="E413" s="45">
        <f t="shared" si="12"/>
        <v>0</v>
      </c>
      <c r="F413" s="59">
        <f>IF($E413&gt;0,IF(Parameter!$B$10="vorschüssig",_XLL.EDATUM(Parameter!$B$9,(A413-1)*12/Parameter!$B$3),_XLL.EDATUM(Parameter!$B$9,A413*12/Parameter!$B$3)),"")</f>
      </c>
      <c r="H413" s="47"/>
    </row>
    <row r="414" spans="1:8" s="46" customFormat="1" ht="12.75">
      <c r="A414" s="43">
        <v>413</v>
      </c>
      <c r="B414" s="44">
        <f>IF($D413&gt;0,IF($A414&gt;$G$2,$D413*Parameter!$B$8/Parameter!$B$3,$D413*Parameter!$B$2/Parameter!$B$3),0)</f>
        <v>0</v>
      </c>
      <c r="C414" s="44">
        <f>IF($A413&gt;=$G$3,MIN(IF(AND($A414&gt;$G$2,Parameter!$E$9),Parameter!$E$7-Zahlungsplan!$B414,Parameter!$B$5-$B414),$D413),0)</f>
        <v>0</v>
      </c>
      <c r="D414" s="44">
        <f t="shared" si="13"/>
        <v>0</v>
      </c>
      <c r="E414" s="45">
        <f t="shared" si="12"/>
        <v>0</v>
      </c>
      <c r="F414" s="59">
        <f>IF($E414&gt;0,IF(Parameter!$B$10="vorschüssig",_XLL.EDATUM(Parameter!$B$9,(A414-1)*12/Parameter!$B$3),_XLL.EDATUM(Parameter!$B$9,A414*12/Parameter!$B$3)),"")</f>
      </c>
      <c r="H414" s="47"/>
    </row>
    <row r="415" spans="1:8" s="46" customFormat="1" ht="12.75">
      <c r="A415" s="43">
        <v>414</v>
      </c>
      <c r="B415" s="44">
        <f>IF($D414&gt;0,IF($A415&gt;$G$2,$D414*Parameter!$B$8/Parameter!$B$3,$D414*Parameter!$B$2/Parameter!$B$3),0)</f>
        <v>0</v>
      </c>
      <c r="C415" s="44">
        <f>IF($A414&gt;=$G$3,MIN(IF(AND($A415&gt;$G$2,Parameter!$E$9),Parameter!$E$7-Zahlungsplan!$B415,Parameter!$B$5-$B415),$D414),0)</f>
        <v>0</v>
      </c>
      <c r="D415" s="44">
        <f t="shared" si="13"/>
        <v>0</v>
      </c>
      <c r="E415" s="45">
        <f t="shared" si="12"/>
        <v>0</v>
      </c>
      <c r="F415" s="59">
        <f>IF($E415&gt;0,IF(Parameter!$B$10="vorschüssig",_XLL.EDATUM(Parameter!$B$9,(A415-1)*12/Parameter!$B$3),_XLL.EDATUM(Parameter!$B$9,A415*12/Parameter!$B$3)),"")</f>
      </c>
      <c r="H415" s="47"/>
    </row>
    <row r="416" spans="1:8" s="46" customFormat="1" ht="12.75">
      <c r="A416" s="43">
        <v>415</v>
      </c>
      <c r="B416" s="44">
        <f>IF($D415&gt;0,IF($A416&gt;$G$2,$D415*Parameter!$B$8/Parameter!$B$3,$D415*Parameter!$B$2/Parameter!$B$3),0)</f>
        <v>0</v>
      </c>
      <c r="C416" s="44">
        <f>IF($A415&gt;=$G$3,MIN(IF(AND($A416&gt;$G$2,Parameter!$E$9),Parameter!$E$7-Zahlungsplan!$B416,Parameter!$B$5-$B416),$D415),0)</f>
        <v>0</v>
      </c>
      <c r="D416" s="44">
        <f t="shared" si="13"/>
        <v>0</v>
      </c>
      <c r="E416" s="45">
        <f t="shared" si="12"/>
        <v>0</v>
      </c>
      <c r="F416" s="59">
        <f>IF($E416&gt;0,IF(Parameter!$B$10="vorschüssig",_XLL.EDATUM(Parameter!$B$9,(A416-1)*12/Parameter!$B$3),_XLL.EDATUM(Parameter!$B$9,A416*12/Parameter!$B$3)),"")</f>
      </c>
      <c r="H416" s="47"/>
    </row>
    <row r="417" spans="1:8" s="46" customFormat="1" ht="12.75">
      <c r="A417" s="43">
        <v>416</v>
      </c>
      <c r="B417" s="44">
        <f>IF($D416&gt;0,IF($A417&gt;$G$2,$D416*Parameter!$B$8/Parameter!$B$3,$D416*Parameter!$B$2/Parameter!$B$3),0)</f>
        <v>0</v>
      </c>
      <c r="C417" s="44">
        <f>IF($A416&gt;=$G$3,MIN(IF(AND($A417&gt;$G$2,Parameter!$E$9),Parameter!$E$7-Zahlungsplan!$B417,Parameter!$B$5-$B417),$D416),0)</f>
        <v>0</v>
      </c>
      <c r="D417" s="44">
        <f t="shared" si="13"/>
        <v>0</v>
      </c>
      <c r="E417" s="45">
        <f t="shared" si="12"/>
        <v>0</v>
      </c>
      <c r="F417" s="59">
        <f>IF($E417&gt;0,IF(Parameter!$B$10="vorschüssig",_XLL.EDATUM(Parameter!$B$9,(A417-1)*12/Parameter!$B$3),_XLL.EDATUM(Parameter!$B$9,A417*12/Parameter!$B$3)),"")</f>
      </c>
      <c r="H417" s="47"/>
    </row>
    <row r="418" spans="1:8" s="46" customFormat="1" ht="12.75">
      <c r="A418" s="43">
        <v>417</v>
      </c>
      <c r="B418" s="44">
        <f>IF($D417&gt;0,IF($A418&gt;$G$2,$D417*Parameter!$B$8/Parameter!$B$3,$D417*Parameter!$B$2/Parameter!$B$3),0)</f>
        <v>0</v>
      </c>
      <c r="C418" s="44">
        <f>IF($A417&gt;=$G$3,MIN(IF(AND($A418&gt;$G$2,Parameter!$E$9),Parameter!$E$7-Zahlungsplan!$B418,Parameter!$B$5-$B418),$D417),0)</f>
        <v>0</v>
      </c>
      <c r="D418" s="44">
        <f t="shared" si="13"/>
        <v>0</v>
      </c>
      <c r="E418" s="45">
        <f t="shared" si="12"/>
        <v>0</v>
      </c>
      <c r="F418" s="59">
        <f>IF($E418&gt;0,IF(Parameter!$B$10="vorschüssig",_XLL.EDATUM(Parameter!$B$9,(A418-1)*12/Parameter!$B$3),_XLL.EDATUM(Parameter!$B$9,A418*12/Parameter!$B$3)),"")</f>
      </c>
      <c r="H418" s="47"/>
    </row>
    <row r="419" spans="1:8" s="46" customFormat="1" ht="12.75">
      <c r="A419" s="43">
        <v>418</v>
      </c>
      <c r="B419" s="44">
        <f>IF($D418&gt;0,IF($A419&gt;$G$2,$D418*Parameter!$B$8/Parameter!$B$3,$D418*Parameter!$B$2/Parameter!$B$3),0)</f>
        <v>0</v>
      </c>
      <c r="C419" s="44">
        <f>IF($A418&gt;=$G$3,MIN(IF(AND($A419&gt;$G$2,Parameter!$E$9),Parameter!$E$7-Zahlungsplan!$B419,Parameter!$B$5-$B419),$D418),0)</f>
        <v>0</v>
      </c>
      <c r="D419" s="44">
        <f t="shared" si="13"/>
        <v>0</v>
      </c>
      <c r="E419" s="45">
        <f t="shared" si="12"/>
        <v>0</v>
      </c>
      <c r="F419" s="59">
        <f>IF($E419&gt;0,IF(Parameter!$B$10="vorschüssig",_XLL.EDATUM(Parameter!$B$9,(A419-1)*12/Parameter!$B$3),_XLL.EDATUM(Parameter!$B$9,A419*12/Parameter!$B$3)),"")</f>
      </c>
      <c r="H419" s="47"/>
    </row>
    <row r="420" spans="1:8" s="46" customFormat="1" ht="12.75">
      <c r="A420" s="43">
        <v>419</v>
      </c>
      <c r="B420" s="44">
        <f>IF($D419&gt;0,IF($A420&gt;$G$2,$D419*Parameter!$B$8/Parameter!$B$3,$D419*Parameter!$B$2/Parameter!$B$3),0)</f>
        <v>0</v>
      </c>
      <c r="C420" s="44">
        <f>IF($A419&gt;=$G$3,MIN(IF(AND($A420&gt;$G$2,Parameter!$E$9),Parameter!$E$7-Zahlungsplan!$B420,Parameter!$B$5-$B420),$D419),0)</f>
        <v>0</v>
      </c>
      <c r="D420" s="44">
        <f t="shared" si="13"/>
        <v>0</v>
      </c>
      <c r="E420" s="45">
        <f t="shared" si="12"/>
        <v>0</v>
      </c>
      <c r="F420" s="59">
        <f>IF($E420&gt;0,IF(Parameter!$B$10="vorschüssig",_XLL.EDATUM(Parameter!$B$9,(A420-1)*12/Parameter!$B$3),_XLL.EDATUM(Parameter!$B$9,A420*12/Parameter!$B$3)),"")</f>
      </c>
      <c r="H420" s="47"/>
    </row>
    <row r="421" spans="1:8" s="46" customFormat="1" ht="12.75">
      <c r="A421" s="43">
        <v>420</v>
      </c>
      <c r="B421" s="44">
        <f>IF($D420&gt;0,IF($A421&gt;$G$2,$D420*Parameter!$B$8/Parameter!$B$3,$D420*Parameter!$B$2/Parameter!$B$3),0)</f>
        <v>0</v>
      </c>
      <c r="C421" s="44">
        <f>IF($A420&gt;=$G$3,MIN(IF(AND($A421&gt;$G$2,Parameter!$E$9),Parameter!$E$7-Zahlungsplan!$B421,Parameter!$B$5-$B421),$D420),0)</f>
        <v>0</v>
      </c>
      <c r="D421" s="44">
        <f t="shared" si="13"/>
        <v>0</v>
      </c>
      <c r="E421" s="45">
        <f t="shared" si="12"/>
        <v>0</v>
      </c>
      <c r="F421" s="59">
        <f>IF($E421&gt;0,IF(Parameter!$B$10="vorschüssig",_XLL.EDATUM(Parameter!$B$9,(A421-1)*12/Parameter!$B$3),_XLL.EDATUM(Parameter!$B$9,A421*12/Parameter!$B$3)),"")</f>
      </c>
      <c r="H421" s="47"/>
    </row>
    <row r="422" spans="1:8" s="51" customFormat="1" ht="12.75">
      <c r="A422" s="48">
        <v>421</v>
      </c>
      <c r="B422" s="49">
        <f>IF($D421&gt;0,IF($A422&gt;$G$2,$D421*Parameter!$B$8/Parameter!$B$3,$D421*Parameter!$B$2/Parameter!$B$3),0)</f>
        <v>0</v>
      </c>
      <c r="C422" s="49">
        <f>IF($A421&gt;=$G$3,MIN(IF(AND($A422&gt;$G$2,Parameter!$E$9),Parameter!$E$7-Zahlungsplan!$B422,Parameter!$B$5-$B422),$D421),0)</f>
        <v>0</v>
      </c>
      <c r="D422" s="49">
        <f t="shared" si="13"/>
        <v>0</v>
      </c>
      <c r="E422" s="50">
        <f t="shared" si="12"/>
        <v>0</v>
      </c>
      <c r="F422" s="60">
        <f>IF($E422&gt;0,IF(Parameter!$B$10="vorschüssig",_XLL.EDATUM(Parameter!$B$9,(A422-1)*12/Parameter!$B$3),_XLL.EDATUM(Parameter!$B$9,A422*12/Parameter!$B$3)),"")</f>
      </c>
      <c r="H422" s="52"/>
    </row>
    <row r="423" spans="1:8" s="51" customFormat="1" ht="12.75">
      <c r="A423" s="48">
        <v>422</v>
      </c>
      <c r="B423" s="49">
        <f>IF($D422&gt;0,IF($A423&gt;$G$2,$D422*Parameter!$B$8/Parameter!$B$3,$D422*Parameter!$B$2/Parameter!$B$3),0)</f>
        <v>0</v>
      </c>
      <c r="C423" s="49">
        <f>IF($A422&gt;=$G$3,MIN(IF(AND($A423&gt;$G$2,Parameter!$E$9),Parameter!$E$7-Zahlungsplan!$B423,Parameter!$B$5-$B423),$D422),0)</f>
        <v>0</v>
      </c>
      <c r="D423" s="49">
        <f t="shared" si="13"/>
        <v>0</v>
      </c>
      <c r="E423" s="50">
        <f t="shared" si="12"/>
        <v>0</v>
      </c>
      <c r="F423" s="60">
        <f>IF($E423&gt;0,IF(Parameter!$B$10="vorschüssig",_XLL.EDATUM(Parameter!$B$9,(A423-1)*12/Parameter!$B$3),_XLL.EDATUM(Parameter!$B$9,A423*12/Parameter!$B$3)),"")</f>
      </c>
      <c r="H423" s="52"/>
    </row>
    <row r="424" spans="1:8" s="51" customFormat="1" ht="12.75">
      <c r="A424" s="48">
        <v>423</v>
      </c>
      <c r="B424" s="49">
        <f>IF($D423&gt;0,IF($A424&gt;$G$2,$D423*Parameter!$B$8/Parameter!$B$3,$D423*Parameter!$B$2/Parameter!$B$3),0)</f>
        <v>0</v>
      </c>
      <c r="C424" s="49">
        <f>IF($A423&gt;=$G$3,MIN(IF(AND($A424&gt;$G$2,Parameter!$E$9),Parameter!$E$7-Zahlungsplan!$B424,Parameter!$B$5-$B424),$D423),0)</f>
        <v>0</v>
      </c>
      <c r="D424" s="49">
        <f t="shared" si="13"/>
        <v>0</v>
      </c>
      <c r="E424" s="50">
        <f t="shared" si="12"/>
        <v>0</v>
      </c>
      <c r="F424" s="60">
        <f>IF($E424&gt;0,IF(Parameter!$B$10="vorschüssig",_XLL.EDATUM(Parameter!$B$9,(A424-1)*12/Parameter!$B$3),_XLL.EDATUM(Parameter!$B$9,A424*12/Parameter!$B$3)),"")</f>
      </c>
      <c r="H424" s="52"/>
    </row>
    <row r="425" spans="1:8" s="51" customFormat="1" ht="12.75">
      <c r="A425" s="48">
        <v>424</v>
      </c>
      <c r="B425" s="49">
        <f>IF($D424&gt;0,IF($A425&gt;$G$2,$D424*Parameter!$B$8/Parameter!$B$3,$D424*Parameter!$B$2/Parameter!$B$3),0)</f>
        <v>0</v>
      </c>
      <c r="C425" s="49">
        <f>IF($A424&gt;=$G$3,MIN(IF(AND($A425&gt;$G$2,Parameter!$E$9),Parameter!$E$7-Zahlungsplan!$B425,Parameter!$B$5-$B425),$D424),0)</f>
        <v>0</v>
      </c>
      <c r="D425" s="49">
        <f t="shared" si="13"/>
        <v>0</v>
      </c>
      <c r="E425" s="50">
        <f t="shared" si="12"/>
        <v>0</v>
      </c>
      <c r="F425" s="60">
        <f>IF($E425&gt;0,IF(Parameter!$B$10="vorschüssig",_XLL.EDATUM(Parameter!$B$9,(A425-1)*12/Parameter!$B$3),_XLL.EDATUM(Parameter!$B$9,A425*12/Parameter!$B$3)),"")</f>
      </c>
      <c r="H425" s="52"/>
    </row>
    <row r="426" spans="1:8" s="51" customFormat="1" ht="12.75">
      <c r="A426" s="48">
        <v>425</v>
      </c>
      <c r="B426" s="49">
        <f>IF($D425&gt;0,IF($A426&gt;$G$2,$D425*Parameter!$B$8/Parameter!$B$3,$D425*Parameter!$B$2/Parameter!$B$3),0)</f>
        <v>0</v>
      </c>
      <c r="C426" s="49">
        <f>IF($A425&gt;=$G$3,MIN(IF(AND($A426&gt;$G$2,Parameter!$E$9),Parameter!$E$7-Zahlungsplan!$B426,Parameter!$B$5-$B426),$D425),0)</f>
        <v>0</v>
      </c>
      <c r="D426" s="49">
        <f t="shared" si="13"/>
        <v>0</v>
      </c>
      <c r="E426" s="50">
        <f t="shared" si="12"/>
        <v>0</v>
      </c>
      <c r="F426" s="60">
        <f>IF($E426&gt;0,IF(Parameter!$B$10="vorschüssig",_XLL.EDATUM(Parameter!$B$9,(A426-1)*12/Parameter!$B$3),_XLL.EDATUM(Parameter!$B$9,A426*12/Parameter!$B$3)),"")</f>
      </c>
      <c r="H426" s="52"/>
    </row>
    <row r="427" spans="1:8" s="51" customFormat="1" ht="12.75">
      <c r="A427" s="48">
        <v>426</v>
      </c>
      <c r="B427" s="49">
        <f>IF($D426&gt;0,IF($A427&gt;$G$2,$D426*Parameter!$B$8/Parameter!$B$3,$D426*Parameter!$B$2/Parameter!$B$3),0)</f>
        <v>0</v>
      </c>
      <c r="C427" s="49">
        <f>IF($A426&gt;=$G$3,MIN(IF(AND($A427&gt;$G$2,Parameter!$E$9),Parameter!$E$7-Zahlungsplan!$B427,Parameter!$B$5-$B427),$D426),0)</f>
        <v>0</v>
      </c>
      <c r="D427" s="49">
        <f t="shared" si="13"/>
        <v>0</v>
      </c>
      <c r="E427" s="50">
        <f t="shared" si="12"/>
        <v>0</v>
      </c>
      <c r="F427" s="60">
        <f>IF($E427&gt;0,IF(Parameter!$B$10="vorschüssig",_XLL.EDATUM(Parameter!$B$9,(A427-1)*12/Parameter!$B$3),_XLL.EDATUM(Parameter!$B$9,A427*12/Parameter!$B$3)),"")</f>
      </c>
      <c r="H427" s="52"/>
    </row>
    <row r="428" spans="1:8" s="51" customFormat="1" ht="12.75">
      <c r="A428" s="48">
        <v>427</v>
      </c>
      <c r="B428" s="49">
        <f>IF($D427&gt;0,IF($A428&gt;$G$2,$D427*Parameter!$B$8/Parameter!$B$3,$D427*Parameter!$B$2/Parameter!$B$3),0)</f>
        <v>0</v>
      </c>
      <c r="C428" s="49">
        <f>IF($A427&gt;=$G$3,MIN(IF(AND($A428&gt;$G$2,Parameter!$E$9),Parameter!$E$7-Zahlungsplan!$B428,Parameter!$B$5-$B428),$D427),0)</f>
        <v>0</v>
      </c>
      <c r="D428" s="49">
        <f t="shared" si="13"/>
        <v>0</v>
      </c>
      <c r="E428" s="50">
        <f t="shared" si="12"/>
        <v>0</v>
      </c>
      <c r="F428" s="60">
        <f>IF($E428&gt;0,IF(Parameter!$B$10="vorschüssig",_XLL.EDATUM(Parameter!$B$9,(A428-1)*12/Parameter!$B$3),_XLL.EDATUM(Parameter!$B$9,A428*12/Parameter!$B$3)),"")</f>
      </c>
      <c r="H428" s="52"/>
    </row>
    <row r="429" spans="1:8" s="51" customFormat="1" ht="12.75">
      <c r="A429" s="48">
        <v>428</v>
      </c>
      <c r="B429" s="49">
        <f>IF($D428&gt;0,IF($A429&gt;$G$2,$D428*Parameter!$B$8/Parameter!$B$3,$D428*Parameter!$B$2/Parameter!$B$3),0)</f>
        <v>0</v>
      </c>
      <c r="C429" s="49">
        <f>IF($A428&gt;=$G$3,MIN(IF(AND($A429&gt;$G$2,Parameter!$E$9),Parameter!$E$7-Zahlungsplan!$B429,Parameter!$B$5-$B429),$D428),0)</f>
        <v>0</v>
      </c>
      <c r="D429" s="49">
        <f t="shared" si="13"/>
        <v>0</v>
      </c>
      <c r="E429" s="50">
        <f t="shared" si="12"/>
        <v>0</v>
      </c>
      <c r="F429" s="60">
        <f>IF($E429&gt;0,IF(Parameter!$B$10="vorschüssig",_XLL.EDATUM(Parameter!$B$9,(A429-1)*12/Parameter!$B$3),_XLL.EDATUM(Parameter!$B$9,A429*12/Parameter!$B$3)),"")</f>
      </c>
      <c r="H429" s="52"/>
    </row>
    <row r="430" spans="1:8" s="51" customFormat="1" ht="12.75">
      <c r="A430" s="48">
        <v>429</v>
      </c>
      <c r="B430" s="49">
        <f>IF($D429&gt;0,IF($A430&gt;$G$2,$D429*Parameter!$B$8/Parameter!$B$3,$D429*Parameter!$B$2/Parameter!$B$3),0)</f>
        <v>0</v>
      </c>
      <c r="C430" s="49">
        <f>IF($A429&gt;=$G$3,MIN(IF(AND($A430&gt;$G$2,Parameter!$E$9),Parameter!$E$7-Zahlungsplan!$B430,Parameter!$B$5-$B430),$D429),0)</f>
        <v>0</v>
      </c>
      <c r="D430" s="49">
        <f t="shared" si="13"/>
        <v>0</v>
      </c>
      <c r="E430" s="50">
        <f t="shared" si="12"/>
        <v>0</v>
      </c>
      <c r="F430" s="60">
        <f>IF($E430&gt;0,IF(Parameter!$B$10="vorschüssig",_XLL.EDATUM(Parameter!$B$9,(A430-1)*12/Parameter!$B$3),_XLL.EDATUM(Parameter!$B$9,A430*12/Parameter!$B$3)),"")</f>
      </c>
      <c r="H430" s="52"/>
    </row>
    <row r="431" spans="1:8" s="51" customFormat="1" ht="12.75">
      <c r="A431" s="48">
        <v>430</v>
      </c>
      <c r="B431" s="49">
        <f>IF($D430&gt;0,IF($A431&gt;$G$2,$D430*Parameter!$B$8/Parameter!$B$3,$D430*Parameter!$B$2/Parameter!$B$3),0)</f>
        <v>0</v>
      </c>
      <c r="C431" s="49">
        <f>IF($A430&gt;=$G$3,MIN(IF(AND($A431&gt;$G$2,Parameter!$E$9),Parameter!$E$7-Zahlungsplan!$B431,Parameter!$B$5-$B431),$D430),0)</f>
        <v>0</v>
      </c>
      <c r="D431" s="49">
        <f t="shared" si="13"/>
        <v>0</v>
      </c>
      <c r="E431" s="50">
        <f t="shared" si="12"/>
        <v>0</v>
      </c>
      <c r="F431" s="60">
        <f>IF($E431&gt;0,IF(Parameter!$B$10="vorschüssig",_XLL.EDATUM(Parameter!$B$9,(A431-1)*12/Parameter!$B$3),_XLL.EDATUM(Parameter!$B$9,A431*12/Parameter!$B$3)),"")</f>
      </c>
      <c r="H431" s="52"/>
    </row>
    <row r="432" spans="1:8" s="51" customFormat="1" ht="12.75">
      <c r="A432" s="48">
        <v>431</v>
      </c>
      <c r="B432" s="49">
        <f>IF($D431&gt;0,IF($A432&gt;$G$2,$D431*Parameter!$B$8/Parameter!$B$3,$D431*Parameter!$B$2/Parameter!$B$3),0)</f>
        <v>0</v>
      </c>
      <c r="C432" s="49">
        <f>IF($A431&gt;=$G$3,MIN(IF(AND($A432&gt;$G$2,Parameter!$E$9),Parameter!$E$7-Zahlungsplan!$B432,Parameter!$B$5-$B432),$D431),0)</f>
        <v>0</v>
      </c>
      <c r="D432" s="49">
        <f t="shared" si="13"/>
        <v>0</v>
      </c>
      <c r="E432" s="50">
        <f t="shared" si="12"/>
        <v>0</v>
      </c>
      <c r="F432" s="60">
        <f>IF($E432&gt;0,IF(Parameter!$B$10="vorschüssig",_XLL.EDATUM(Parameter!$B$9,(A432-1)*12/Parameter!$B$3),_XLL.EDATUM(Parameter!$B$9,A432*12/Parameter!$B$3)),"")</f>
      </c>
      <c r="H432" s="52"/>
    </row>
    <row r="433" spans="1:8" s="51" customFormat="1" ht="12.75">
      <c r="A433" s="48">
        <v>432</v>
      </c>
      <c r="B433" s="49">
        <f>IF($D432&gt;0,IF($A433&gt;$G$2,$D432*Parameter!$B$8/Parameter!$B$3,$D432*Parameter!$B$2/Parameter!$B$3),0)</f>
        <v>0</v>
      </c>
      <c r="C433" s="49">
        <f>IF($A432&gt;=$G$3,MIN(IF(AND($A433&gt;$G$2,Parameter!$E$9),Parameter!$E$7-Zahlungsplan!$B433,Parameter!$B$5-$B433),$D432),0)</f>
        <v>0</v>
      </c>
      <c r="D433" s="49">
        <f t="shared" si="13"/>
        <v>0</v>
      </c>
      <c r="E433" s="50">
        <f t="shared" si="12"/>
        <v>0</v>
      </c>
      <c r="F433" s="60">
        <f>IF($E433&gt;0,IF(Parameter!$B$10="vorschüssig",_XLL.EDATUM(Parameter!$B$9,(A433-1)*12/Parameter!$B$3),_XLL.EDATUM(Parameter!$B$9,A433*12/Parameter!$B$3)),"")</f>
      </c>
      <c r="H433" s="52"/>
    </row>
    <row r="434" spans="1:8" s="51" customFormat="1" ht="12.75">
      <c r="A434" s="48">
        <v>433</v>
      </c>
      <c r="B434" s="49">
        <f>IF($D433&gt;0,IF($A434&gt;$G$2,$D433*Parameter!$B$8/Parameter!$B$3,$D433*Parameter!$B$2/Parameter!$B$3),0)</f>
        <v>0</v>
      </c>
      <c r="C434" s="49">
        <f>IF($A433&gt;=$G$3,MIN(IF(AND($A434&gt;$G$2,Parameter!$E$9),Parameter!$E$7-Zahlungsplan!$B434,Parameter!$B$5-$B434),$D433),0)</f>
        <v>0</v>
      </c>
      <c r="D434" s="49">
        <f t="shared" si="13"/>
        <v>0</v>
      </c>
      <c r="E434" s="50">
        <f t="shared" si="12"/>
        <v>0</v>
      </c>
      <c r="F434" s="60">
        <f>IF($E434&gt;0,IF(Parameter!$B$10="vorschüssig",_XLL.EDATUM(Parameter!$B$9,(A434-1)*12/Parameter!$B$3),_XLL.EDATUM(Parameter!$B$9,A434*12/Parameter!$B$3)),"")</f>
      </c>
      <c r="H434" s="52"/>
    </row>
    <row r="435" spans="1:8" s="51" customFormat="1" ht="12.75">
      <c r="A435" s="48">
        <v>434</v>
      </c>
      <c r="B435" s="49">
        <f>IF($D434&gt;0,IF($A435&gt;$G$2,$D434*Parameter!$B$8/Parameter!$B$3,$D434*Parameter!$B$2/Parameter!$B$3),0)</f>
        <v>0</v>
      </c>
      <c r="C435" s="49">
        <f>IF($A434&gt;=$G$3,MIN(IF(AND($A435&gt;$G$2,Parameter!$E$9),Parameter!$E$7-Zahlungsplan!$B435,Parameter!$B$5-$B435),$D434),0)</f>
        <v>0</v>
      </c>
      <c r="D435" s="49">
        <f t="shared" si="13"/>
        <v>0</v>
      </c>
      <c r="E435" s="50">
        <f t="shared" si="12"/>
        <v>0</v>
      </c>
      <c r="F435" s="60">
        <f>IF($E435&gt;0,IF(Parameter!$B$10="vorschüssig",_XLL.EDATUM(Parameter!$B$9,(A435-1)*12/Parameter!$B$3),_XLL.EDATUM(Parameter!$B$9,A435*12/Parameter!$B$3)),"")</f>
      </c>
      <c r="H435" s="52"/>
    </row>
    <row r="436" spans="1:8" s="51" customFormat="1" ht="12.75">
      <c r="A436" s="48">
        <v>435</v>
      </c>
      <c r="B436" s="49">
        <f>IF($D435&gt;0,IF($A436&gt;$G$2,$D435*Parameter!$B$8/Parameter!$B$3,$D435*Parameter!$B$2/Parameter!$B$3),0)</f>
        <v>0</v>
      </c>
      <c r="C436" s="49">
        <f>IF($A435&gt;=$G$3,MIN(IF(AND($A436&gt;$G$2,Parameter!$E$9),Parameter!$E$7-Zahlungsplan!$B436,Parameter!$B$5-$B436),$D435),0)</f>
        <v>0</v>
      </c>
      <c r="D436" s="49">
        <f t="shared" si="13"/>
        <v>0</v>
      </c>
      <c r="E436" s="50">
        <f t="shared" si="12"/>
        <v>0</v>
      </c>
      <c r="F436" s="60">
        <f>IF($E436&gt;0,IF(Parameter!$B$10="vorschüssig",_XLL.EDATUM(Parameter!$B$9,(A436-1)*12/Parameter!$B$3),_XLL.EDATUM(Parameter!$B$9,A436*12/Parameter!$B$3)),"")</f>
      </c>
      <c r="H436" s="52"/>
    </row>
    <row r="437" spans="1:8" s="51" customFormat="1" ht="12.75">
      <c r="A437" s="48">
        <v>436</v>
      </c>
      <c r="B437" s="49">
        <f>IF($D436&gt;0,IF($A437&gt;$G$2,$D436*Parameter!$B$8/Parameter!$B$3,$D436*Parameter!$B$2/Parameter!$B$3),0)</f>
        <v>0</v>
      </c>
      <c r="C437" s="49">
        <f>IF($A436&gt;=$G$3,MIN(IF(AND($A437&gt;$G$2,Parameter!$E$9),Parameter!$E$7-Zahlungsplan!$B437,Parameter!$B$5-$B437),$D436),0)</f>
        <v>0</v>
      </c>
      <c r="D437" s="49">
        <f t="shared" si="13"/>
        <v>0</v>
      </c>
      <c r="E437" s="50">
        <f t="shared" si="12"/>
        <v>0</v>
      </c>
      <c r="F437" s="60">
        <f>IF($E437&gt;0,IF(Parameter!$B$10="vorschüssig",_XLL.EDATUM(Parameter!$B$9,(A437-1)*12/Parameter!$B$3),_XLL.EDATUM(Parameter!$B$9,A437*12/Parameter!$B$3)),"")</f>
      </c>
      <c r="H437" s="52"/>
    </row>
    <row r="438" spans="1:8" s="51" customFormat="1" ht="12.75">
      <c r="A438" s="48">
        <v>437</v>
      </c>
      <c r="B438" s="49">
        <f>IF($D437&gt;0,IF($A438&gt;$G$2,$D437*Parameter!$B$8/Parameter!$B$3,$D437*Parameter!$B$2/Parameter!$B$3),0)</f>
        <v>0</v>
      </c>
      <c r="C438" s="49">
        <f>IF($A437&gt;=$G$3,MIN(IF(AND($A438&gt;$G$2,Parameter!$E$9),Parameter!$E$7-Zahlungsplan!$B438,Parameter!$B$5-$B438),$D437),0)</f>
        <v>0</v>
      </c>
      <c r="D438" s="49">
        <f t="shared" si="13"/>
        <v>0</v>
      </c>
      <c r="E438" s="50">
        <f t="shared" si="12"/>
        <v>0</v>
      </c>
      <c r="F438" s="60">
        <f>IF($E438&gt;0,IF(Parameter!$B$10="vorschüssig",_XLL.EDATUM(Parameter!$B$9,(A438-1)*12/Parameter!$B$3),_XLL.EDATUM(Parameter!$B$9,A438*12/Parameter!$B$3)),"")</f>
      </c>
      <c r="H438" s="52"/>
    </row>
    <row r="439" spans="1:8" s="51" customFormat="1" ht="12.75">
      <c r="A439" s="48">
        <v>438</v>
      </c>
      <c r="B439" s="49">
        <f>IF($D438&gt;0,IF($A439&gt;$G$2,$D438*Parameter!$B$8/Parameter!$B$3,$D438*Parameter!$B$2/Parameter!$B$3),0)</f>
        <v>0</v>
      </c>
      <c r="C439" s="49">
        <f>IF($A438&gt;=$G$3,MIN(IF(AND($A439&gt;$G$2,Parameter!$E$9),Parameter!$E$7-Zahlungsplan!$B439,Parameter!$B$5-$B439),$D438),0)</f>
        <v>0</v>
      </c>
      <c r="D439" s="49">
        <f t="shared" si="13"/>
        <v>0</v>
      </c>
      <c r="E439" s="50">
        <f t="shared" si="12"/>
        <v>0</v>
      </c>
      <c r="F439" s="60">
        <f>IF($E439&gt;0,IF(Parameter!$B$10="vorschüssig",_XLL.EDATUM(Parameter!$B$9,(A439-1)*12/Parameter!$B$3),_XLL.EDATUM(Parameter!$B$9,A439*12/Parameter!$B$3)),"")</f>
      </c>
      <c r="H439" s="52"/>
    </row>
    <row r="440" spans="1:8" s="51" customFormat="1" ht="12.75">
      <c r="A440" s="48">
        <v>439</v>
      </c>
      <c r="B440" s="49">
        <f>IF($D439&gt;0,IF($A440&gt;$G$2,$D439*Parameter!$B$8/Parameter!$B$3,$D439*Parameter!$B$2/Parameter!$B$3),0)</f>
        <v>0</v>
      </c>
      <c r="C440" s="49">
        <f>IF($A439&gt;=$G$3,MIN(IF(AND($A440&gt;$G$2,Parameter!$E$9),Parameter!$E$7-Zahlungsplan!$B440,Parameter!$B$5-$B440),$D439),0)</f>
        <v>0</v>
      </c>
      <c r="D440" s="49">
        <f t="shared" si="13"/>
        <v>0</v>
      </c>
      <c r="E440" s="50">
        <f t="shared" si="12"/>
        <v>0</v>
      </c>
      <c r="F440" s="60">
        <f>IF($E440&gt;0,IF(Parameter!$B$10="vorschüssig",_XLL.EDATUM(Parameter!$B$9,(A440-1)*12/Parameter!$B$3),_XLL.EDATUM(Parameter!$B$9,A440*12/Parameter!$B$3)),"")</f>
      </c>
      <c r="H440" s="52"/>
    </row>
    <row r="441" spans="1:8" s="51" customFormat="1" ht="12.75">
      <c r="A441" s="48">
        <v>440</v>
      </c>
      <c r="B441" s="49">
        <f>IF($D440&gt;0,IF($A441&gt;$G$2,$D440*Parameter!$B$8/Parameter!$B$3,$D440*Parameter!$B$2/Parameter!$B$3),0)</f>
        <v>0</v>
      </c>
      <c r="C441" s="49">
        <f>IF($A440&gt;=$G$3,MIN(IF(AND($A441&gt;$G$2,Parameter!$E$9),Parameter!$E$7-Zahlungsplan!$B441,Parameter!$B$5-$B441),$D440),0)</f>
        <v>0</v>
      </c>
      <c r="D441" s="49">
        <f t="shared" si="13"/>
        <v>0</v>
      </c>
      <c r="E441" s="50">
        <f t="shared" si="12"/>
        <v>0</v>
      </c>
      <c r="F441" s="60">
        <f>IF($E441&gt;0,IF(Parameter!$B$10="vorschüssig",_XLL.EDATUM(Parameter!$B$9,(A441-1)*12/Parameter!$B$3),_XLL.EDATUM(Parameter!$B$9,A441*12/Parameter!$B$3)),"")</f>
      </c>
      <c r="H441" s="52"/>
    </row>
    <row r="442" spans="1:8" s="51" customFormat="1" ht="12.75">
      <c r="A442" s="48">
        <v>441</v>
      </c>
      <c r="B442" s="49">
        <f>IF($D441&gt;0,IF($A442&gt;$G$2,$D441*Parameter!$B$8/Parameter!$B$3,$D441*Parameter!$B$2/Parameter!$B$3),0)</f>
        <v>0</v>
      </c>
      <c r="C442" s="49">
        <f>IF($A441&gt;=$G$3,MIN(IF(AND($A442&gt;$G$2,Parameter!$E$9),Parameter!$E$7-Zahlungsplan!$B442,Parameter!$B$5-$B442),$D441),0)</f>
        <v>0</v>
      </c>
      <c r="D442" s="49">
        <f t="shared" si="13"/>
        <v>0</v>
      </c>
      <c r="E442" s="50">
        <f t="shared" si="12"/>
        <v>0</v>
      </c>
      <c r="F442" s="60">
        <f>IF($E442&gt;0,IF(Parameter!$B$10="vorschüssig",_XLL.EDATUM(Parameter!$B$9,(A442-1)*12/Parameter!$B$3),_XLL.EDATUM(Parameter!$B$9,A442*12/Parameter!$B$3)),"")</f>
      </c>
      <c r="H442" s="52"/>
    </row>
    <row r="443" spans="1:8" s="51" customFormat="1" ht="12.75">
      <c r="A443" s="48">
        <v>442</v>
      </c>
      <c r="B443" s="49">
        <f>IF($D442&gt;0,IF($A443&gt;$G$2,$D442*Parameter!$B$8/Parameter!$B$3,$D442*Parameter!$B$2/Parameter!$B$3),0)</f>
        <v>0</v>
      </c>
      <c r="C443" s="49">
        <f>IF($A442&gt;=$G$3,MIN(IF(AND($A443&gt;$G$2,Parameter!$E$9),Parameter!$E$7-Zahlungsplan!$B443,Parameter!$B$5-$B443),$D442),0)</f>
        <v>0</v>
      </c>
      <c r="D443" s="49">
        <f t="shared" si="13"/>
        <v>0</v>
      </c>
      <c r="E443" s="50">
        <f t="shared" si="12"/>
        <v>0</v>
      </c>
      <c r="F443" s="60">
        <f>IF($E443&gt;0,IF(Parameter!$B$10="vorschüssig",_XLL.EDATUM(Parameter!$B$9,(A443-1)*12/Parameter!$B$3),_XLL.EDATUM(Parameter!$B$9,A443*12/Parameter!$B$3)),"")</f>
      </c>
      <c r="H443" s="52"/>
    </row>
    <row r="444" spans="1:8" s="51" customFormat="1" ht="12.75">
      <c r="A444" s="48">
        <v>443</v>
      </c>
      <c r="B444" s="49">
        <f>IF($D443&gt;0,IF($A444&gt;$G$2,$D443*Parameter!$B$8/Parameter!$B$3,$D443*Parameter!$B$2/Parameter!$B$3),0)</f>
        <v>0</v>
      </c>
      <c r="C444" s="49">
        <f>IF($A443&gt;=$G$3,MIN(IF(AND($A444&gt;$G$2,Parameter!$E$9),Parameter!$E$7-Zahlungsplan!$B444,Parameter!$B$5-$B444),$D443),0)</f>
        <v>0</v>
      </c>
      <c r="D444" s="49">
        <f t="shared" si="13"/>
        <v>0</v>
      </c>
      <c r="E444" s="50">
        <f t="shared" si="12"/>
        <v>0</v>
      </c>
      <c r="F444" s="60">
        <f>IF($E444&gt;0,IF(Parameter!$B$10="vorschüssig",_XLL.EDATUM(Parameter!$B$9,(A444-1)*12/Parameter!$B$3),_XLL.EDATUM(Parameter!$B$9,A444*12/Parameter!$B$3)),"")</f>
      </c>
      <c r="H444" s="52"/>
    </row>
    <row r="445" spans="1:8" s="51" customFormat="1" ht="12.75">
      <c r="A445" s="48">
        <v>444</v>
      </c>
      <c r="B445" s="49">
        <f>IF($D444&gt;0,IF($A445&gt;$G$2,$D444*Parameter!$B$8/Parameter!$B$3,$D444*Parameter!$B$2/Parameter!$B$3),0)</f>
        <v>0</v>
      </c>
      <c r="C445" s="49">
        <f>IF($A444&gt;=$G$3,MIN(IF(AND($A445&gt;$G$2,Parameter!$E$9),Parameter!$E$7-Zahlungsplan!$B445,Parameter!$B$5-$B445),$D444),0)</f>
        <v>0</v>
      </c>
      <c r="D445" s="49">
        <f t="shared" si="13"/>
        <v>0</v>
      </c>
      <c r="E445" s="50">
        <f t="shared" si="12"/>
        <v>0</v>
      </c>
      <c r="F445" s="60">
        <f>IF($E445&gt;0,IF(Parameter!$B$10="vorschüssig",_XLL.EDATUM(Parameter!$B$9,(A445-1)*12/Parameter!$B$3),_XLL.EDATUM(Parameter!$B$9,A445*12/Parameter!$B$3)),"")</f>
      </c>
      <c r="H445" s="52"/>
    </row>
    <row r="446" spans="1:8" s="51" customFormat="1" ht="12.75">
      <c r="A446" s="48">
        <v>445</v>
      </c>
      <c r="B446" s="49">
        <f>IF($D445&gt;0,IF($A446&gt;$G$2,$D445*Parameter!$B$8/Parameter!$B$3,$D445*Parameter!$B$2/Parameter!$B$3),0)</f>
        <v>0</v>
      </c>
      <c r="C446" s="49">
        <f>IF($A445&gt;=$G$3,MIN(IF(AND($A446&gt;$G$2,Parameter!$E$9),Parameter!$E$7-Zahlungsplan!$B446,Parameter!$B$5-$B446),$D445),0)</f>
        <v>0</v>
      </c>
      <c r="D446" s="49">
        <f t="shared" si="13"/>
        <v>0</v>
      </c>
      <c r="E446" s="50">
        <f t="shared" si="12"/>
        <v>0</v>
      </c>
      <c r="F446" s="60">
        <f>IF($E446&gt;0,IF(Parameter!$B$10="vorschüssig",_XLL.EDATUM(Parameter!$B$9,(A446-1)*12/Parameter!$B$3),_XLL.EDATUM(Parameter!$B$9,A446*12/Parameter!$B$3)),"")</f>
      </c>
      <c r="H446" s="52"/>
    </row>
    <row r="447" spans="1:8" s="51" customFormat="1" ht="12.75">
      <c r="A447" s="48">
        <v>446</v>
      </c>
      <c r="B447" s="49">
        <f>IF($D446&gt;0,IF($A447&gt;$G$2,$D446*Parameter!$B$8/Parameter!$B$3,$D446*Parameter!$B$2/Parameter!$B$3),0)</f>
        <v>0</v>
      </c>
      <c r="C447" s="49">
        <f>IF($A446&gt;=$G$3,MIN(IF(AND($A447&gt;$G$2,Parameter!$E$9),Parameter!$E$7-Zahlungsplan!$B447,Parameter!$B$5-$B447),$D446),0)</f>
        <v>0</v>
      </c>
      <c r="D447" s="49">
        <f t="shared" si="13"/>
        <v>0</v>
      </c>
      <c r="E447" s="50">
        <f t="shared" si="12"/>
        <v>0</v>
      </c>
      <c r="F447" s="60">
        <f>IF($E447&gt;0,IF(Parameter!$B$10="vorschüssig",_XLL.EDATUM(Parameter!$B$9,(A447-1)*12/Parameter!$B$3),_XLL.EDATUM(Parameter!$B$9,A447*12/Parameter!$B$3)),"")</f>
      </c>
      <c r="H447" s="52"/>
    </row>
    <row r="448" spans="1:8" s="51" customFormat="1" ht="12.75">
      <c r="A448" s="48">
        <v>447</v>
      </c>
      <c r="B448" s="49">
        <f>IF($D447&gt;0,IF($A448&gt;$G$2,$D447*Parameter!$B$8/Parameter!$B$3,$D447*Parameter!$B$2/Parameter!$B$3),0)</f>
        <v>0</v>
      </c>
      <c r="C448" s="49">
        <f>IF($A447&gt;=$G$3,MIN(IF(AND($A448&gt;$G$2,Parameter!$E$9),Parameter!$E$7-Zahlungsplan!$B448,Parameter!$B$5-$B448),$D447),0)</f>
        <v>0</v>
      </c>
      <c r="D448" s="49">
        <f t="shared" si="13"/>
        <v>0</v>
      </c>
      <c r="E448" s="50">
        <f t="shared" si="12"/>
        <v>0</v>
      </c>
      <c r="F448" s="60">
        <f>IF($E448&gt;0,IF(Parameter!$B$10="vorschüssig",_XLL.EDATUM(Parameter!$B$9,(A448-1)*12/Parameter!$B$3),_XLL.EDATUM(Parameter!$B$9,A448*12/Parameter!$B$3)),"")</f>
      </c>
      <c r="H448" s="52"/>
    </row>
    <row r="449" spans="1:8" s="51" customFormat="1" ht="12.75">
      <c r="A449" s="48">
        <v>448</v>
      </c>
      <c r="B449" s="49">
        <f>IF($D448&gt;0,IF($A449&gt;$G$2,$D448*Parameter!$B$8/Parameter!$B$3,$D448*Parameter!$B$2/Parameter!$B$3),0)</f>
        <v>0</v>
      </c>
      <c r="C449" s="49">
        <f>IF($A448&gt;=$G$3,MIN(IF(AND($A449&gt;$G$2,Parameter!$E$9),Parameter!$E$7-Zahlungsplan!$B449,Parameter!$B$5-$B449),$D448),0)</f>
        <v>0</v>
      </c>
      <c r="D449" s="49">
        <f t="shared" si="13"/>
        <v>0</v>
      </c>
      <c r="E449" s="50">
        <f t="shared" si="12"/>
        <v>0</v>
      </c>
      <c r="F449" s="60">
        <f>IF($E449&gt;0,IF(Parameter!$B$10="vorschüssig",_XLL.EDATUM(Parameter!$B$9,(A449-1)*12/Parameter!$B$3),_XLL.EDATUM(Parameter!$B$9,A449*12/Parameter!$B$3)),"")</f>
      </c>
      <c r="H449" s="52"/>
    </row>
    <row r="450" spans="1:8" s="51" customFormat="1" ht="12.75">
      <c r="A450" s="48">
        <v>449</v>
      </c>
      <c r="B450" s="49">
        <f>IF($D449&gt;0,IF($A450&gt;$G$2,$D449*Parameter!$B$8/Parameter!$B$3,$D449*Parameter!$B$2/Parameter!$B$3),0)</f>
        <v>0</v>
      </c>
      <c r="C450" s="49">
        <f>IF($A449&gt;=$G$3,MIN(IF(AND($A450&gt;$G$2,Parameter!$E$9),Parameter!$E$7-Zahlungsplan!$B450,Parameter!$B$5-$B450),$D449),0)</f>
        <v>0</v>
      </c>
      <c r="D450" s="49">
        <f t="shared" si="13"/>
        <v>0</v>
      </c>
      <c r="E450" s="50">
        <f t="shared" si="12"/>
        <v>0</v>
      </c>
      <c r="F450" s="60">
        <f>IF($E450&gt;0,IF(Parameter!$B$10="vorschüssig",_XLL.EDATUM(Parameter!$B$9,(A450-1)*12/Parameter!$B$3),_XLL.EDATUM(Parameter!$B$9,A450*12/Parameter!$B$3)),"")</f>
      </c>
      <c r="H450" s="52"/>
    </row>
    <row r="451" spans="1:8" s="51" customFormat="1" ht="12.75">
      <c r="A451" s="48">
        <v>450</v>
      </c>
      <c r="B451" s="49">
        <f>IF($D450&gt;0,IF($A451&gt;$G$2,$D450*Parameter!$B$8/Parameter!$B$3,$D450*Parameter!$B$2/Parameter!$B$3),0)</f>
        <v>0</v>
      </c>
      <c r="C451" s="49">
        <f>IF($A450&gt;=$G$3,MIN(IF(AND($A451&gt;$G$2,Parameter!$E$9),Parameter!$E$7-Zahlungsplan!$B451,Parameter!$B$5-$B451),$D450),0)</f>
        <v>0</v>
      </c>
      <c r="D451" s="49">
        <f t="shared" si="13"/>
        <v>0</v>
      </c>
      <c r="E451" s="50">
        <f aca="true" t="shared" si="14" ref="E451:E481">$B451+$C451</f>
        <v>0</v>
      </c>
      <c r="F451" s="60">
        <f>IF($E451&gt;0,IF(Parameter!$B$10="vorschüssig",_XLL.EDATUM(Parameter!$B$9,(A451-1)*12/Parameter!$B$3),_XLL.EDATUM(Parameter!$B$9,A451*12/Parameter!$B$3)),"")</f>
      </c>
      <c r="H451" s="52"/>
    </row>
    <row r="452" spans="1:8" s="51" customFormat="1" ht="12.75">
      <c r="A452" s="48">
        <v>451</v>
      </c>
      <c r="B452" s="49">
        <f>IF($D451&gt;0,IF($A452&gt;$G$2,$D451*Parameter!$B$8/Parameter!$B$3,$D451*Parameter!$B$2/Parameter!$B$3),0)</f>
        <v>0</v>
      </c>
      <c r="C452" s="49">
        <f>IF($A451&gt;=$G$3,MIN(IF(AND($A452&gt;$G$2,Parameter!$E$9),Parameter!$E$7-Zahlungsplan!$B452,Parameter!$B$5-$B452),$D451),0)</f>
        <v>0</v>
      </c>
      <c r="D452" s="49">
        <f aca="true" t="shared" si="15" ref="D452:D481">$D451-$C452</f>
        <v>0</v>
      </c>
      <c r="E452" s="50">
        <f t="shared" si="14"/>
        <v>0</v>
      </c>
      <c r="F452" s="60">
        <f>IF($E452&gt;0,IF(Parameter!$B$10="vorschüssig",_XLL.EDATUM(Parameter!$B$9,(A452-1)*12/Parameter!$B$3),_XLL.EDATUM(Parameter!$B$9,A452*12/Parameter!$B$3)),"")</f>
      </c>
      <c r="H452" s="52"/>
    </row>
    <row r="453" spans="1:8" s="51" customFormat="1" ht="12.75">
      <c r="A453" s="48">
        <v>452</v>
      </c>
      <c r="B453" s="49">
        <f>IF($D452&gt;0,IF($A453&gt;$G$2,$D452*Parameter!$B$8/Parameter!$B$3,$D452*Parameter!$B$2/Parameter!$B$3),0)</f>
        <v>0</v>
      </c>
      <c r="C453" s="49">
        <f>IF($A452&gt;=$G$3,MIN(IF(AND($A453&gt;$G$2,Parameter!$E$9),Parameter!$E$7-Zahlungsplan!$B453,Parameter!$B$5-$B453),$D452),0)</f>
        <v>0</v>
      </c>
      <c r="D453" s="49">
        <f t="shared" si="15"/>
        <v>0</v>
      </c>
      <c r="E453" s="50">
        <f t="shared" si="14"/>
        <v>0</v>
      </c>
      <c r="F453" s="60">
        <f>IF($E453&gt;0,IF(Parameter!$B$10="vorschüssig",_XLL.EDATUM(Parameter!$B$9,(A453-1)*12/Parameter!$B$3),_XLL.EDATUM(Parameter!$B$9,A453*12/Parameter!$B$3)),"")</f>
      </c>
      <c r="H453" s="52"/>
    </row>
    <row r="454" spans="1:8" s="51" customFormat="1" ht="12.75">
      <c r="A454" s="48">
        <v>453</v>
      </c>
      <c r="B454" s="49">
        <f>IF($D453&gt;0,IF($A454&gt;$G$2,$D453*Parameter!$B$8/Parameter!$B$3,$D453*Parameter!$B$2/Parameter!$B$3),0)</f>
        <v>0</v>
      </c>
      <c r="C454" s="49">
        <f>IF($A453&gt;=$G$3,MIN(IF(AND($A454&gt;$G$2,Parameter!$E$9),Parameter!$E$7-Zahlungsplan!$B454,Parameter!$B$5-$B454),$D453),0)</f>
        <v>0</v>
      </c>
      <c r="D454" s="49">
        <f t="shared" si="15"/>
        <v>0</v>
      </c>
      <c r="E454" s="50">
        <f t="shared" si="14"/>
        <v>0</v>
      </c>
      <c r="F454" s="60">
        <f>IF($E454&gt;0,IF(Parameter!$B$10="vorschüssig",_XLL.EDATUM(Parameter!$B$9,(A454-1)*12/Parameter!$B$3),_XLL.EDATUM(Parameter!$B$9,A454*12/Parameter!$B$3)),"")</f>
      </c>
      <c r="H454" s="52"/>
    </row>
    <row r="455" spans="1:8" s="51" customFormat="1" ht="12.75">
      <c r="A455" s="48">
        <v>454</v>
      </c>
      <c r="B455" s="49">
        <f>IF($D454&gt;0,IF($A455&gt;$G$2,$D454*Parameter!$B$8/Parameter!$B$3,$D454*Parameter!$B$2/Parameter!$B$3),0)</f>
        <v>0</v>
      </c>
      <c r="C455" s="49">
        <f>IF($A454&gt;=$G$3,MIN(IF(AND($A455&gt;$G$2,Parameter!$E$9),Parameter!$E$7-Zahlungsplan!$B455,Parameter!$B$5-$B455),$D454),0)</f>
        <v>0</v>
      </c>
      <c r="D455" s="49">
        <f t="shared" si="15"/>
        <v>0</v>
      </c>
      <c r="E455" s="50">
        <f t="shared" si="14"/>
        <v>0</v>
      </c>
      <c r="F455" s="60">
        <f>IF($E455&gt;0,IF(Parameter!$B$10="vorschüssig",_XLL.EDATUM(Parameter!$B$9,(A455-1)*12/Parameter!$B$3),_XLL.EDATUM(Parameter!$B$9,A455*12/Parameter!$B$3)),"")</f>
      </c>
      <c r="H455" s="52"/>
    </row>
    <row r="456" spans="1:8" s="51" customFormat="1" ht="12.75">
      <c r="A456" s="48">
        <v>455</v>
      </c>
      <c r="B456" s="49">
        <f>IF($D455&gt;0,IF($A456&gt;$G$2,$D455*Parameter!$B$8/Parameter!$B$3,$D455*Parameter!$B$2/Parameter!$B$3),0)</f>
        <v>0</v>
      </c>
      <c r="C456" s="49">
        <f>IF($A455&gt;=$G$3,MIN(IF(AND($A456&gt;$G$2,Parameter!$E$9),Parameter!$E$7-Zahlungsplan!$B456,Parameter!$B$5-$B456),$D455),0)</f>
        <v>0</v>
      </c>
      <c r="D456" s="49">
        <f t="shared" si="15"/>
        <v>0</v>
      </c>
      <c r="E456" s="50">
        <f t="shared" si="14"/>
        <v>0</v>
      </c>
      <c r="F456" s="60">
        <f>IF($E456&gt;0,IF(Parameter!$B$10="vorschüssig",_XLL.EDATUM(Parameter!$B$9,(A456-1)*12/Parameter!$B$3),_XLL.EDATUM(Parameter!$B$9,A456*12/Parameter!$B$3)),"")</f>
      </c>
      <c r="H456" s="52"/>
    </row>
    <row r="457" spans="1:8" s="51" customFormat="1" ht="12.75">
      <c r="A457" s="48">
        <v>456</v>
      </c>
      <c r="B457" s="49">
        <f>IF($D456&gt;0,IF($A457&gt;$G$2,$D456*Parameter!$B$8/Parameter!$B$3,$D456*Parameter!$B$2/Parameter!$B$3),0)</f>
        <v>0</v>
      </c>
      <c r="C457" s="49">
        <f>IF($A456&gt;=$G$3,MIN(IF(AND($A457&gt;$G$2,Parameter!$E$9),Parameter!$E$7-Zahlungsplan!$B457,Parameter!$B$5-$B457),$D456),0)</f>
        <v>0</v>
      </c>
      <c r="D457" s="49">
        <f t="shared" si="15"/>
        <v>0</v>
      </c>
      <c r="E457" s="50">
        <f t="shared" si="14"/>
        <v>0</v>
      </c>
      <c r="F457" s="60">
        <f>IF($E457&gt;0,IF(Parameter!$B$10="vorschüssig",_XLL.EDATUM(Parameter!$B$9,(A457-1)*12/Parameter!$B$3),_XLL.EDATUM(Parameter!$B$9,A457*12/Parameter!$B$3)),"")</f>
      </c>
      <c r="H457" s="52"/>
    </row>
    <row r="458" spans="1:8" s="51" customFormat="1" ht="12.75">
      <c r="A458" s="48">
        <v>457</v>
      </c>
      <c r="B458" s="49">
        <f>IF($D457&gt;0,IF($A458&gt;$G$2,$D457*Parameter!$B$8/Parameter!$B$3,$D457*Parameter!$B$2/Parameter!$B$3),0)</f>
        <v>0</v>
      </c>
      <c r="C458" s="49">
        <f>IF($A457&gt;=$G$3,MIN(IF(AND($A458&gt;$G$2,Parameter!$E$9),Parameter!$E$7-Zahlungsplan!$B458,Parameter!$B$5-$B458),$D457),0)</f>
        <v>0</v>
      </c>
      <c r="D458" s="49">
        <f t="shared" si="15"/>
        <v>0</v>
      </c>
      <c r="E458" s="50">
        <f t="shared" si="14"/>
        <v>0</v>
      </c>
      <c r="F458" s="60">
        <f>IF($E458&gt;0,IF(Parameter!$B$10="vorschüssig",_XLL.EDATUM(Parameter!$B$9,(A458-1)*12/Parameter!$B$3),_XLL.EDATUM(Parameter!$B$9,A458*12/Parameter!$B$3)),"")</f>
      </c>
      <c r="H458" s="52"/>
    </row>
    <row r="459" spans="1:8" s="51" customFormat="1" ht="12.75">
      <c r="A459" s="48">
        <v>458</v>
      </c>
      <c r="B459" s="49">
        <f>IF($D458&gt;0,IF($A459&gt;$G$2,$D458*Parameter!$B$8/Parameter!$B$3,$D458*Parameter!$B$2/Parameter!$B$3),0)</f>
        <v>0</v>
      </c>
      <c r="C459" s="49">
        <f>IF($A458&gt;=$G$3,MIN(IF(AND($A459&gt;$G$2,Parameter!$E$9),Parameter!$E$7-Zahlungsplan!$B459,Parameter!$B$5-$B459),$D458),0)</f>
        <v>0</v>
      </c>
      <c r="D459" s="49">
        <f t="shared" si="15"/>
        <v>0</v>
      </c>
      <c r="E459" s="50">
        <f t="shared" si="14"/>
        <v>0</v>
      </c>
      <c r="F459" s="60">
        <f>IF($E459&gt;0,IF(Parameter!$B$10="vorschüssig",_XLL.EDATUM(Parameter!$B$9,(A459-1)*12/Parameter!$B$3),_XLL.EDATUM(Parameter!$B$9,A459*12/Parameter!$B$3)),"")</f>
      </c>
      <c r="H459" s="52"/>
    </row>
    <row r="460" spans="1:8" s="51" customFormat="1" ht="12.75">
      <c r="A460" s="48">
        <v>459</v>
      </c>
      <c r="B460" s="49">
        <f>IF($D459&gt;0,IF($A460&gt;$G$2,$D459*Parameter!$B$8/Parameter!$B$3,$D459*Parameter!$B$2/Parameter!$B$3),0)</f>
        <v>0</v>
      </c>
      <c r="C460" s="49">
        <f>IF($A459&gt;=$G$3,MIN(IF(AND($A460&gt;$G$2,Parameter!$E$9),Parameter!$E$7-Zahlungsplan!$B460,Parameter!$B$5-$B460),$D459),0)</f>
        <v>0</v>
      </c>
      <c r="D460" s="49">
        <f t="shared" si="15"/>
        <v>0</v>
      </c>
      <c r="E460" s="50">
        <f t="shared" si="14"/>
        <v>0</v>
      </c>
      <c r="F460" s="60">
        <f>IF($E460&gt;0,IF(Parameter!$B$10="vorschüssig",_XLL.EDATUM(Parameter!$B$9,(A460-1)*12/Parameter!$B$3),_XLL.EDATUM(Parameter!$B$9,A460*12/Parameter!$B$3)),"")</f>
      </c>
      <c r="H460" s="52"/>
    </row>
    <row r="461" spans="1:8" s="51" customFormat="1" ht="12.75">
      <c r="A461" s="48">
        <v>460</v>
      </c>
      <c r="B461" s="49">
        <f>IF($D460&gt;0,IF($A461&gt;$G$2,$D460*Parameter!$B$8/Parameter!$B$3,$D460*Parameter!$B$2/Parameter!$B$3),0)</f>
        <v>0</v>
      </c>
      <c r="C461" s="49">
        <f>IF($A460&gt;=$G$3,MIN(IF(AND($A461&gt;$G$2,Parameter!$E$9),Parameter!$E$7-Zahlungsplan!$B461,Parameter!$B$5-$B461),$D460),0)</f>
        <v>0</v>
      </c>
      <c r="D461" s="49">
        <f t="shared" si="15"/>
        <v>0</v>
      </c>
      <c r="E461" s="50">
        <f t="shared" si="14"/>
        <v>0</v>
      </c>
      <c r="F461" s="60">
        <f>IF($E461&gt;0,IF(Parameter!$B$10="vorschüssig",_XLL.EDATUM(Parameter!$B$9,(A461-1)*12/Parameter!$B$3),_XLL.EDATUM(Parameter!$B$9,A461*12/Parameter!$B$3)),"")</f>
      </c>
      <c r="H461" s="52"/>
    </row>
    <row r="462" spans="1:8" s="51" customFormat="1" ht="12.75">
      <c r="A462" s="48">
        <v>461</v>
      </c>
      <c r="B462" s="49">
        <f>IF($D461&gt;0,IF($A462&gt;$G$2,$D461*Parameter!$B$8/Parameter!$B$3,$D461*Parameter!$B$2/Parameter!$B$3),0)</f>
        <v>0</v>
      </c>
      <c r="C462" s="49">
        <f>IF($A461&gt;=$G$3,MIN(IF(AND($A462&gt;$G$2,Parameter!$E$9),Parameter!$E$7-Zahlungsplan!$B462,Parameter!$B$5-$B462),$D461),0)</f>
        <v>0</v>
      </c>
      <c r="D462" s="49">
        <f t="shared" si="15"/>
        <v>0</v>
      </c>
      <c r="E462" s="50">
        <f t="shared" si="14"/>
        <v>0</v>
      </c>
      <c r="F462" s="60">
        <f>IF($E462&gt;0,IF(Parameter!$B$10="vorschüssig",_XLL.EDATUM(Parameter!$B$9,(A462-1)*12/Parameter!$B$3),_XLL.EDATUM(Parameter!$B$9,A462*12/Parameter!$B$3)),"")</f>
      </c>
      <c r="H462" s="52"/>
    </row>
    <row r="463" spans="1:8" s="51" customFormat="1" ht="12.75">
      <c r="A463" s="48">
        <v>462</v>
      </c>
      <c r="B463" s="49">
        <f>IF($D462&gt;0,IF($A463&gt;$G$2,$D462*Parameter!$B$8/Parameter!$B$3,$D462*Parameter!$B$2/Parameter!$B$3),0)</f>
        <v>0</v>
      </c>
      <c r="C463" s="49">
        <f>IF($A462&gt;=$G$3,MIN(IF(AND($A463&gt;$G$2,Parameter!$E$9),Parameter!$E$7-Zahlungsplan!$B463,Parameter!$B$5-$B463),$D462),0)</f>
        <v>0</v>
      </c>
      <c r="D463" s="49">
        <f t="shared" si="15"/>
        <v>0</v>
      </c>
      <c r="E463" s="50">
        <f t="shared" si="14"/>
        <v>0</v>
      </c>
      <c r="F463" s="60">
        <f>IF($E463&gt;0,IF(Parameter!$B$10="vorschüssig",_XLL.EDATUM(Parameter!$B$9,(A463-1)*12/Parameter!$B$3),_XLL.EDATUM(Parameter!$B$9,A463*12/Parameter!$B$3)),"")</f>
      </c>
      <c r="H463" s="52"/>
    </row>
    <row r="464" spans="1:8" s="51" customFormat="1" ht="12.75">
      <c r="A464" s="48">
        <v>463</v>
      </c>
      <c r="B464" s="49">
        <f>IF($D463&gt;0,IF($A464&gt;$G$2,$D463*Parameter!$B$8/Parameter!$B$3,$D463*Parameter!$B$2/Parameter!$B$3),0)</f>
        <v>0</v>
      </c>
      <c r="C464" s="49">
        <f>IF($A463&gt;=$G$3,MIN(IF(AND($A464&gt;$G$2,Parameter!$E$9),Parameter!$E$7-Zahlungsplan!$B464,Parameter!$B$5-$B464),$D463),0)</f>
        <v>0</v>
      </c>
      <c r="D464" s="49">
        <f t="shared" si="15"/>
        <v>0</v>
      </c>
      <c r="E464" s="50">
        <f t="shared" si="14"/>
        <v>0</v>
      </c>
      <c r="F464" s="60">
        <f>IF($E464&gt;0,IF(Parameter!$B$10="vorschüssig",_XLL.EDATUM(Parameter!$B$9,(A464-1)*12/Parameter!$B$3),_XLL.EDATUM(Parameter!$B$9,A464*12/Parameter!$B$3)),"")</f>
      </c>
      <c r="H464" s="52"/>
    </row>
    <row r="465" spans="1:8" s="51" customFormat="1" ht="12.75">
      <c r="A465" s="48">
        <v>464</v>
      </c>
      <c r="B465" s="49">
        <f>IF($D464&gt;0,IF($A465&gt;$G$2,$D464*Parameter!$B$8/Parameter!$B$3,$D464*Parameter!$B$2/Parameter!$B$3),0)</f>
        <v>0</v>
      </c>
      <c r="C465" s="49">
        <f>IF($A464&gt;=$G$3,MIN(IF(AND($A465&gt;$G$2,Parameter!$E$9),Parameter!$E$7-Zahlungsplan!$B465,Parameter!$B$5-$B465),$D464),0)</f>
        <v>0</v>
      </c>
      <c r="D465" s="49">
        <f t="shared" si="15"/>
        <v>0</v>
      </c>
      <c r="E465" s="50">
        <f t="shared" si="14"/>
        <v>0</v>
      </c>
      <c r="F465" s="60">
        <f>IF($E465&gt;0,IF(Parameter!$B$10="vorschüssig",_XLL.EDATUM(Parameter!$B$9,(A465-1)*12/Parameter!$B$3),_XLL.EDATUM(Parameter!$B$9,A465*12/Parameter!$B$3)),"")</f>
      </c>
      <c r="H465" s="52"/>
    </row>
    <row r="466" spans="1:8" s="51" customFormat="1" ht="12.75">
      <c r="A466" s="48">
        <v>465</v>
      </c>
      <c r="B466" s="49">
        <f>IF($D465&gt;0,IF($A466&gt;$G$2,$D465*Parameter!$B$8/Parameter!$B$3,$D465*Parameter!$B$2/Parameter!$B$3),0)</f>
        <v>0</v>
      </c>
      <c r="C466" s="49">
        <f>IF($A465&gt;=$G$3,MIN(IF(AND($A466&gt;$G$2,Parameter!$E$9),Parameter!$E$7-Zahlungsplan!$B466,Parameter!$B$5-$B466),$D465),0)</f>
        <v>0</v>
      </c>
      <c r="D466" s="49">
        <f t="shared" si="15"/>
        <v>0</v>
      </c>
      <c r="E466" s="50">
        <f t="shared" si="14"/>
        <v>0</v>
      </c>
      <c r="F466" s="60">
        <f>IF($E466&gt;0,IF(Parameter!$B$10="vorschüssig",_XLL.EDATUM(Parameter!$B$9,(A466-1)*12/Parameter!$B$3),_XLL.EDATUM(Parameter!$B$9,A466*12/Parameter!$B$3)),"")</f>
      </c>
      <c r="H466" s="52"/>
    </row>
    <row r="467" spans="1:8" s="51" customFormat="1" ht="12.75">
      <c r="A467" s="48">
        <v>466</v>
      </c>
      <c r="B467" s="49">
        <f>IF($D466&gt;0,IF($A467&gt;$G$2,$D466*Parameter!$B$8/Parameter!$B$3,$D466*Parameter!$B$2/Parameter!$B$3),0)</f>
        <v>0</v>
      </c>
      <c r="C467" s="49">
        <f>IF($A466&gt;=$G$3,MIN(IF(AND($A467&gt;$G$2,Parameter!$E$9),Parameter!$E$7-Zahlungsplan!$B467,Parameter!$B$5-$B467),$D466),0)</f>
        <v>0</v>
      </c>
      <c r="D467" s="49">
        <f t="shared" si="15"/>
        <v>0</v>
      </c>
      <c r="E467" s="50">
        <f t="shared" si="14"/>
        <v>0</v>
      </c>
      <c r="F467" s="60">
        <f>IF($E467&gt;0,IF(Parameter!$B$10="vorschüssig",_XLL.EDATUM(Parameter!$B$9,(A467-1)*12/Parameter!$B$3),_XLL.EDATUM(Parameter!$B$9,A467*12/Parameter!$B$3)),"")</f>
      </c>
      <c r="H467" s="52"/>
    </row>
    <row r="468" spans="1:8" s="51" customFormat="1" ht="12.75">
      <c r="A468" s="48">
        <v>467</v>
      </c>
      <c r="B468" s="49">
        <f>IF($D467&gt;0,IF($A468&gt;$G$2,$D467*Parameter!$B$8/Parameter!$B$3,$D467*Parameter!$B$2/Parameter!$B$3),0)</f>
        <v>0</v>
      </c>
      <c r="C468" s="49">
        <f>IF($A467&gt;=$G$3,MIN(IF(AND($A468&gt;$G$2,Parameter!$E$9),Parameter!$E$7-Zahlungsplan!$B468,Parameter!$B$5-$B468),$D467),0)</f>
        <v>0</v>
      </c>
      <c r="D468" s="49">
        <f t="shared" si="15"/>
        <v>0</v>
      </c>
      <c r="E468" s="50">
        <f t="shared" si="14"/>
        <v>0</v>
      </c>
      <c r="F468" s="60">
        <f>IF($E468&gt;0,IF(Parameter!$B$10="vorschüssig",_XLL.EDATUM(Parameter!$B$9,(A468-1)*12/Parameter!$B$3),_XLL.EDATUM(Parameter!$B$9,A468*12/Parameter!$B$3)),"")</f>
      </c>
      <c r="H468" s="52"/>
    </row>
    <row r="469" spans="1:8" s="51" customFormat="1" ht="12.75">
      <c r="A469" s="48">
        <v>468</v>
      </c>
      <c r="B469" s="49">
        <f>IF($D468&gt;0,IF($A469&gt;$G$2,$D468*Parameter!$B$8/Parameter!$B$3,$D468*Parameter!$B$2/Parameter!$B$3),0)</f>
        <v>0</v>
      </c>
      <c r="C469" s="49">
        <f>IF($A468&gt;=$G$3,MIN(IF(AND($A469&gt;$G$2,Parameter!$E$9),Parameter!$E$7-Zahlungsplan!$B469,Parameter!$B$5-$B469),$D468),0)</f>
        <v>0</v>
      </c>
      <c r="D469" s="49">
        <f t="shared" si="15"/>
        <v>0</v>
      </c>
      <c r="E469" s="50">
        <f t="shared" si="14"/>
        <v>0</v>
      </c>
      <c r="F469" s="60">
        <f>IF($E469&gt;0,IF(Parameter!$B$10="vorschüssig",_XLL.EDATUM(Parameter!$B$9,(A469-1)*12/Parameter!$B$3),_XLL.EDATUM(Parameter!$B$9,A469*12/Parameter!$B$3)),"")</f>
      </c>
      <c r="H469" s="52"/>
    </row>
    <row r="470" spans="1:8" s="51" customFormat="1" ht="12.75">
      <c r="A470" s="48">
        <v>469</v>
      </c>
      <c r="B470" s="49">
        <f>IF($D469&gt;0,IF($A470&gt;$G$2,$D469*Parameter!$B$8/Parameter!$B$3,$D469*Parameter!$B$2/Parameter!$B$3),0)</f>
        <v>0</v>
      </c>
      <c r="C470" s="49">
        <f>IF($A469&gt;=$G$3,MIN(IF(AND($A470&gt;$G$2,Parameter!$E$9),Parameter!$E$7-Zahlungsplan!$B470,Parameter!$B$5-$B470),$D469),0)</f>
        <v>0</v>
      </c>
      <c r="D470" s="49">
        <f t="shared" si="15"/>
        <v>0</v>
      </c>
      <c r="E470" s="50">
        <f t="shared" si="14"/>
        <v>0</v>
      </c>
      <c r="F470" s="60">
        <f>IF($E470&gt;0,IF(Parameter!$B$10="vorschüssig",_XLL.EDATUM(Parameter!$B$9,(A470-1)*12/Parameter!$B$3),_XLL.EDATUM(Parameter!$B$9,A470*12/Parameter!$B$3)),"")</f>
      </c>
      <c r="H470" s="52"/>
    </row>
    <row r="471" spans="1:8" s="51" customFormat="1" ht="12.75">
      <c r="A471" s="48">
        <v>470</v>
      </c>
      <c r="B471" s="49">
        <f>IF($D470&gt;0,IF($A471&gt;$G$2,$D470*Parameter!$B$8/Parameter!$B$3,$D470*Parameter!$B$2/Parameter!$B$3),0)</f>
        <v>0</v>
      </c>
      <c r="C471" s="49">
        <f>IF($A470&gt;=$G$3,MIN(IF(AND($A471&gt;$G$2,Parameter!$E$9),Parameter!$E$7-Zahlungsplan!$B471,Parameter!$B$5-$B471),$D470),0)</f>
        <v>0</v>
      </c>
      <c r="D471" s="49">
        <f t="shared" si="15"/>
        <v>0</v>
      </c>
      <c r="E471" s="50">
        <f t="shared" si="14"/>
        <v>0</v>
      </c>
      <c r="F471" s="60">
        <f>IF($E471&gt;0,IF(Parameter!$B$10="vorschüssig",_XLL.EDATUM(Parameter!$B$9,(A471-1)*12/Parameter!$B$3),_XLL.EDATUM(Parameter!$B$9,A471*12/Parameter!$B$3)),"")</f>
      </c>
      <c r="H471" s="52"/>
    </row>
    <row r="472" spans="1:8" s="51" customFormat="1" ht="12.75">
      <c r="A472" s="48">
        <v>471</v>
      </c>
      <c r="B472" s="49">
        <f>IF($D471&gt;0,IF($A472&gt;$G$2,$D471*Parameter!$B$8/Parameter!$B$3,$D471*Parameter!$B$2/Parameter!$B$3),0)</f>
        <v>0</v>
      </c>
      <c r="C472" s="49">
        <f>IF($A471&gt;=$G$3,MIN(IF(AND($A472&gt;$G$2,Parameter!$E$9),Parameter!$E$7-Zahlungsplan!$B472,Parameter!$B$5-$B472),$D471),0)</f>
        <v>0</v>
      </c>
      <c r="D472" s="49">
        <f t="shared" si="15"/>
        <v>0</v>
      </c>
      <c r="E472" s="50">
        <f t="shared" si="14"/>
        <v>0</v>
      </c>
      <c r="F472" s="60">
        <f>IF($E472&gt;0,IF(Parameter!$B$10="vorschüssig",_XLL.EDATUM(Parameter!$B$9,(A472-1)*12/Parameter!$B$3),_XLL.EDATUM(Parameter!$B$9,A472*12/Parameter!$B$3)),"")</f>
      </c>
      <c r="H472" s="52"/>
    </row>
    <row r="473" spans="1:8" s="51" customFormat="1" ht="12.75">
      <c r="A473" s="48">
        <v>472</v>
      </c>
      <c r="B473" s="49">
        <f>IF($D472&gt;0,IF($A473&gt;$G$2,$D472*Parameter!$B$8/Parameter!$B$3,$D472*Parameter!$B$2/Parameter!$B$3),0)</f>
        <v>0</v>
      </c>
      <c r="C473" s="49">
        <f>IF($A472&gt;=$G$3,MIN(IF(AND($A473&gt;$G$2,Parameter!$E$9),Parameter!$E$7-Zahlungsplan!$B473,Parameter!$B$5-$B473),$D472),0)</f>
        <v>0</v>
      </c>
      <c r="D473" s="49">
        <f t="shared" si="15"/>
        <v>0</v>
      </c>
      <c r="E473" s="50">
        <f t="shared" si="14"/>
        <v>0</v>
      </c>
      <c r="F473" s="60">
        <f>IF($E473&gt;0,IF(Parameter!$B$10="vorschüssig",_XLL.EDATUM(Parameter!$B$9,(A473-1)*12/Parameter!$B$3),_XLL.EDATUM(Parameter!$B$9,A473*12/Parameter!$B$3)),"")</f>
      </c>
      <c r="H473" s="52"/>
    </row>
    <row r="474" spans="1:8" s="51" customFormat="1" ht="12.75">
      <c r="A474" s="48">
        <v>473</v>
      </c>
      <c r="B474" s="49">
        <f>IF($D473&gt;0,IF($A474&gt;$G$2,$D473*Parameter!$B$8/Parameter!$B$3,$D473*Parameter!$B$2/Parameter!$B$3),0)</f>
        <v>0</v>
      </c>
      <c r="C474" s="49">
        <f>IF($A473&gt;=$G$3,MIN(IF(AND($A474&gt;$G$2,Parameter!$E$9),Parameter!$E$7-Zahlungsplan!$B474,Parameter!$B$5-$B474),$D473),0)</f>
        <v>0</v>
      </c>
      <c r="D474" s="49">
        <f t="shared" si="15"/>
        <v>0</v>
      </c>
      <c r="E474" s="50">
        <f t="shared" si="14"/>
        <v>0</v>
      </c>
      <c r="F474" s="60">
        <f>IF($E474&gt;0,IF(Parameter!$B$10="vorschüssig",_XLL.EDATUM(Parameter!$B$9,(A474-1)*12/Parameter!$B$3),_XLL.EDATUM(Parameter!$B$9,A474*12/Parameter!$B$3)),"")</f>
      </c>
      <c r="H474" s="52"/>
    </row>
    <row r="475" spans="1:8" s="51" customFormat="1" ht="12.75">
      <c r="A475" s="48">
        <v>474</v>
      </c>
      <c r="B475" s="49">
        <f>IF($D474&gt;0,IF($A475&gt;$G$2,$D474*Parameter!$B$8/Parameter!$B$3,$D474*Parameter!$B$2/Parameter!$B$3),0)</f>
        <v>0</v>
      </c>
      <c r="C475" s="49">
        <f>IF($A474&gt;=$G$3,MIN(IF(AND($A475&gt;$G$2,Parameter!$E$9),Parameter!$E$7-Zahlungsplan!$B475,Parameter!$B$5-$B475),$D474),0)</f>
        <v>0</v>
      </c>
      <c r="D475" s="49">
        <f t="shared" si="15"/>
        <v>0</v>
      </c>
      <c r="E475" s="50">
        <f t="shared" si="14"/>
        <v>0</v>
      </c>
      <c r="F475" s="60">
        <f>IF($E475&gt;0,IF(Parameter!$B$10="vorschüssig",_XLL.EDATUM(Parameter!$B$9,(A475-1)*12/Parameter!$B$3),_XLL.EDATUM(Parameter!$B$9,A475*12/Parameter!$B$3)),"")</f>
      </c>
      <c r="H475" s="52"/>
    </row>
    <row r="476" spans="1:8" s="51" customFormat="1" ht="12.75">
      <c r="A476" s="48">
        <v>475</v>
      </c>
      <c r="B476" s="49">
        <f>IF($D475&gt;0,IF($A476&gt;$G$2,$D475*Parameter!$B$8/Parameter!$B$3,$D475*Parameter!$B$2/Parameter!$B$3),0)</f>
        <v>0</v>
      </c>
      <c r="C476" s="49">
        <f>IF($A475&gt;=$G$3,MIN(IF(AND($A476&gt;$G$2,Parameter!$E$9),Parameter!$E$7-Zahlungsplan!$B476,Parameter!$B$5-$B476),$D475),0)</f>
        <v>0</v>
      </c>
      <c r="D476" s="49">
        <f t="shared" si="15"/>
        <v>0</v>
      </c>
      <c r="E476" s="50">
        <f t="shared" si="14"/>
        <v>0</v>
      </c>
      <c r="F476" s="60">
        <f>IF($E476&gt;0,IF(Parameter!$B$10="vorschüssig",_XLL.EDATUM(Parameter!$B$9,(A476-1)*12/Parameter!$B$3),_XLL.EDATUM(Parameter!$B$9,A476*12/Parameter!$B$3)),"")</f>
      </c>
      <c r="H476" s="52"/>
    </row>
    <row r="477" spans="1:8" s="51" customFormat="1" ht="12.75">
      <c r="A477" s="48">
        <v>476</v>
      </c>
      <c r="B477" s="49">
        <f>IF($D476&gt;0,IF($A477&gt;$G$2,$D476*Parameter!$B$8/Parameter!$B$3,$D476*Parameter!$B$2/Parameter!$B$3),0)</f>
        <v>0</v>
      </c>
      <c r="C477" s="49">
        <f>IF($A476&gt;=$G$3,MIN(IF(AND($A477&gt;$G$2,Parameter!$E$9),Parameter!$E$7-Zahlungsplan!$B477,Parameter!$B$5-$B477),$D476),0)</f>
        <v>0</v>
      </c>
      <c r="D477" s="49">
        <f t="shared" si="15"/>
        <v>0</v>
      </c>
      <c r="E477" s="50">
        <f t="shared" si="14"/>
        <v>0</v>
      </c>
      <c r="F477" s="60">
        <f>IF($E477&gt;0,IF(Parameter!$B$10="vorschüssig",_XLL.EDATUM(Parameter!$B$9,(A477-1)*12/Parameter!$B$3),_XLL.EDATUM(Parameter!$B$9,A477*12/Parameter!$B$3)),"")</f>
      </c>
      <c r="H477" s="52"/>
    </row>
    <row r="478" spans="1:8" s="51" customFormat="1" ht="12.75">
      <c r="A478" s="48">
        <v>477</v>
      </c>
      <c r="B478" s="49">
        <f>IF($D477&gt;0,IF($A478&gt;$G$2,$D477*Parameter!$B$8/Parameter!$B$3,$D477*Parameter!$B$2/Parameter!$B$3),0)</f>
        <v>0</v>
      </c>
      <c r="C478" s="49">
        <f>IF($A477&gt;=$G$3,MIN(IF(AND($A478&gt;$G$2,Parameter!$E$9),Parameter!$E$7-Zahlungsplan!$B478,Parameter!$B$5-$B478),$D477),0)</f>
        <v>0</v>
      </c>
      <c r="D478" s="49">
        <f t="shared" si="15"/>
        <v>0</v>
      </c>
      <c r="E478" s="50">
        <f t="shared" si="14"/>
        <v>0</v>
      </c>
      <c r="F478" s="60">
        <f>IF($E478&gt;0,IF(Parameter!$B$10="vorschüssig",_XLL.EDATUM(Parameter!$B$9,(A478-1)*12/Parameter!$B$3),_XLL.EDATUM(Parameter!$B$9,A478*12/Parameter!$B$3)),"")</f>
      </c>
      <c r="H478" s="52"/>
    </row>
    <row r="479" spans="1:8" s="51" customFormat="1" ht="12.75">
      <c r="A479" s="48">
        <v>478</v>
      </c>
      <c r="B479" s="49">
        <f>IF($D478&gt;0,IF($A479&gt;$G$2,$D478*Parameter!$B$8/Parameter!$B$3,$D478*Parameter!$B$2/Parameter!$B$3),0)</f>
        <v>0</v>
      </c>
      <c r="C479" s="49">
        <f>IF($A478&gt;=$G$3,MIN(IF(AND($A479&gt;$G$2,Parameter!$E$9),Parameter!$E$7-Zahlungsplan!$B479,Parameter!$B$5-$B479),$D478),0)</f>
        <v>0</v>
      </c>
      <c r="D479" s="49">
        <f t="shared" si="15"/>
        <v>0</v>
      </c>
      <c r="E479" s="50">
        <f t="shared" si="14"/>
        <v>0</v>
      </c>
      <c r="F479" s="60">
        <f>IF($E479&gt;0,IF(Parameter!$B$10="vorschüssig",_XLL.EDATUM(Parameter!$B$9,(A479-1)*12/Parameter!$B$3),_XLL.EDATUM(Parameter!$B$9,A479*12/Parameter!$B$3)),"")</f>
      </c>
      <c r="H479" s="52"/>
    </row>
    <row r="480" spans="1:8" s="51" customFormat="1" ht="12.75">
      <c r="A480" s="48">
        <v>479</v>
      </c>
      <c r="B480" s="49">
        <f>IF($D479&gt;0,IF($A480&gt;$G$2,$D479*Parameter!$B$8/Parameter!$B$3,$D479*Parameter!$B$2/Parameter!$B$3),0)</f>
        <v>0</v>
      </c>
      <c r="C480" s="49">
        <f>IF($A479&gt;=$G$3,MIN(IF(AND($A480&gt;$G$2,Parameter!$E$9),Parameter!$E$7-Zahlungsplan!$B480,Parameter!$B$5-$B480),$D479),0)</f>
        <v>0</v>
      </c>
      <c r="D480" s="49">
        <f t="shared" si="15"/>
        <v>0</v>
      </c>
      <c r="E480" s="50">
        <f t="shared" si="14"/>
        <v>0</v>
      </c>
      <c r="F480" s="60">
        <f>IF($E480&gt;0,IF(Parameter!$B$10="vorschüssig",_XLL.EDATUM(Parameter!$B$9,(A480-1)*12/Parameter!$B$3),_XLL.EDATUM(Parameter!$B$9,A480*12/Parameter!$B$3)),"")</f>
      </c>
      <c r="H480" s="52"/>
    </row>
    <row r="481" spans="1:8" s="51" customFormat="1" ht="12.75">
      <c r="A481" s="48">
        <v>480</v>
      </c>
      <c r="B481" s="49">
        <f>IF($D480&gt;0,IF($A481&gt;$G$2,$D480*Parameter!$B$8/Parameter!$B$3,$D480*Parameter!$B$2/Parameter!$B$3),0)</f>
        <v>0</v>
      </c>
      <c r="C481" s="49">
        <f>IF($A480&gt;=$G$3,MIN(IF(AND($A481&gt;$G$2,Parameter!$E$9),Parameter!$E$7-Zahlungsplan!$B481,Parameter!$B$5-$B481),$D480),0)</f>
        <v>0</v>
      </c>
      <c r="D481" s="49">
        <f t="shared" si="15"/>
        <v>0</v>
      </c>
      <c r="E481" s="50">
        <f t="shared" si="14"/>
        <v>0</v>
      </c>
      <c r="F481" s="60">
        <f>IF($E481&gt;0,IF(Parameter!$B$10="vorschüssig",_XLL.EDATUM(Parameter!$B$9,(A481-1)*12/Parameter!$B$3),_XLL.EDATUM(Parameter!$B$9,A481*12/Parameter!$B$3)),"")</f>
      </c>
      <c r="H481" s="52"/>
    </row>
  </sheetData>
  <sheetProtection sheet="1" objects="1" scenarios="1" selectLockedCells="1"/>
  <conditionalFormatting sqref="A2:A481">
    <cfRule type="cellIs" priority="1" dxfId="2" operator="greaterThan" stopIfTrue="1">
      <formula>$G$2</formula>
    </cfRule>
    <cfRule type="cellIs" priority="2" dxfId="3" operator="lessThanOrEqual" stopIfTrue="1">
      <formula>$G$3</formula>
    </cfRule>
  </conditionalFormatting>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WTD71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janssen</dc:creator>
  <cp:keywords/>
  <dc:description/>
  <cp:lastModifiedBy>janssen</cp:lastModifiedBy>
  <dcterms:created xsi:type="dcterms:W3CDTF">2010-05-19T06:31:37Z</dcterms:created>
  <dcterms:modified xsi:type="dcterms:W3CDTF">2010-06-10T11:11:04Z</dcterms:modified>
  <cp:category/>
  <cp:version/>
  <cp:contentType/>
  <cp:contentStatus/>
</cp:coreProperties>
</file>